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1140516-DEB7-43B3-9BED-55B1A12D6A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/>
  <c r="G30" i="1"/>
  <c r="K30" i="1"/>
  <c r="Q30" i="1"/>
  <c r="E24" i="1"/>
  <c r="F24" i="1"/>
  <c r="G24" i="1"/>
  <c r="L24" i="1"/>
  <c r="Q24" i="1"/>
  <c r="E25" i="1"/>
  <c r="F25" i="1"/>
  <c r="G25" i="1"/>
  <c r="L25" i="1"/>
  <c r="Q25" i="1"/>
  <c r="E26" i="1"/>
  <c r="F26" i="1"/>
  <c r="G26" i="1"/>
  <c r="L26" i="1"/>
  <c r="Q26" i="1"/>
  <c r="E27" i="1"/>
  <c r="F27" i="1"/>
  <c r="G27" i="1"/>
  <c r="L27" i="1"/>
  <c r="Q27" i="1"/>
  <c r="E28" i="1"/>
  <c r="F28" i="1"/>
  <c r="G28" i="1"/>
  <c r="L28" i="1"/>
  <c r="Q28" i="1"/>
  <c r="E29" i="1"/>
  <c r="F29" i="1"/>
  <c r="G29" i="1"/>
  <c r="L29" i="1"/>
  <c r="Q29" i="1"/>
  <c r="E21" i="1"/>
  <c r="F21" i="1"/>
  <c r="G21" i="1"/>
  <c r="I21" i="1"/>
  <c r="E23" i="1"/>
  <c r="F23" i="1"/>
  <c r="G23" i="1"/>
  <c r="K23" i="1"/>
  <c r="E22" i="1"/>
  <c r="F22" i="1"/>
  <c r="G22" i="1"/>
  <c r="I22" i="1"/>
  <c r="Q21" i="1"/>
  <c r="Q23" i="1"/>
  <c r="D9" i="1"/>
  <c r="E9" i="1"/>
  <c r="F15" i="1"/>
  <c r="F16" i="1" s="1"/>
  <c r="C17" i="1"/>
  <c r="Q22" i="1"/>
  <c r="C11" i="1"/>
  <c r="C12" i="1"/>
  <c r="O26" i="1" l="1"/>
  <c r="C15" i="1"/>
  <c r="O25" i="1"/>
  <c r="O22" i="1"/>
  <c r="O21" i="1"/>
  <c r="O23" i="1"/>
  <c r="O24" i="1"/>
  <c r="O28" i="1"/>
  <c r="O29" i="1"/>
  <c r="O27" i="1"/>
  <c r="O30" i="1"/>
  <c r="C16" i="1"/>
  <c r="D18" i="1" s="1"/>
  <c r="C18" i="1" l="1"/>
  <c r="F17" i="1"/>
  <c r="F18" i="1" s="1"/>
  <c r="F19" i="1" l="1"/>
</calcChain>
</file>

<file path=xl/sharedStrings.xml><?xml version="1.0" encoding="utf-8"?>
<sst xmlns="http://schemas.openxmlformats.org/spreadsheetml/2006/main" count="84" uniqueCount="60">
  <si>
    <t>OEJV 0198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</si>
  <si>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</si>
  <si>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</si>
  <si>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</si>
  <si>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</si>
  <si>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</si>
  <si>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</si>
  <si>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</si>
  <si>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</si>
  <si>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</si>
  <si>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</si>
  <si>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</si>
  <si>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</si>
  <si>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</si>
  <si>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</si>
  <si>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</si>
  <si>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</si>
  <si>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</si>
  <si>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</si>
  <si>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</si>
  <si>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</si>
  <si>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</si>
  <si>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</si>
  <si>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</si>
  <si>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</si>
  <si>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</si>
  <si>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</si>
  <si>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</si>
  <si>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</si>
  <si>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</si>
  <si>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</si>
  <si>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</si>
  <si>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</si>
  <si>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</si>
  <si>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</si>
  <si>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</si>
  <si>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</si>
  <si>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</si>
  <si>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</si>
  <si>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</si>
  <si>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</si>
  <si>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IY Pav</t>
  </si>
  <si>
    <t>G9312-1002</t>
  </si>
  <si>
    <t>EA/SD</t>
  </si>
  <si>
    <t>pr_0</t>
  </si>
  <si>
    <t>~</t>
  </si>
  <si>
    <t>IY</t>
  </si>
  <si>
    <t>IY Pav / GSC 9312-1002</t>
  </si>
  <si>
    <t>VSX</t>
  </si>
  <si>
    <t>GCVS</t>
  </si>
  <si>
    <t>as of 2019-07-07</t>
  </si>
  <si>
    <t>TESS/PNC/RAA</t>
  </si>
  <si>
    <t>I</t>
  </si>
  <si>
    <t>TESS</t>
  </si>
  <si>
    <t>BMGA</t>
  </si>
  <si>
    <t>VSS SEB Gp</t>
  </si>
  <si>
    <t>12.0 - 13.1</t>
  </si>
  <si>
    <t>Next ToM-P</t>
  </si>
  <si>
    <t>Next ToM-S</t>
  </si>
  <si>
    <t xml:space="preserve">Mag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</si>
</sst>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7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quotePrefix="1" applyBorder="1" applyAlignment="1">
      <alignment horizontal="left"/>
    </xf>
    <xf numFmtId="0" fontId="19" fillId="0" borderId="0" xfId="0" applyFont="1">
      <alignment vertical="top"/>
    </xf>
    <xf numFmtId="0" fontId="34" fillId="0" borderId="0" xfId="41" applyFont="1" applyAlignment="1">
      <alignment horizontal="left"/>
    </xf>
    <xf numFmtId="0" fontId="34" fillId="0" borderId="0" xfId="41" applyFont="1" applyAlignment="1">
      <alignment horizontal="center"/>
    </xf>
    <xf numFmtId="0" fontId="35" fillId="0" borderId="0" xfId="0" applyFont="1" applyAlignment="1" applyProtection="1">
      <alignment vertical="center" wrapText="1"/>
      <protection locked="0"/>
    </xf>
    <xf numFmtId="0" fontId="35" fillId="0" borderId="0" xfId="0" applyFont="1" applyAlignment="1" applyProtection="1">
      <alignment horizontal="center"/>
      <protection locked="0"/>
    </xf>
    <xf numFmtId="165" fontId="35" fillId="0" borderId="0" xfId="0" applyNumberFormat="1" applyFont="1" applyAlignment="1" applyProtection="1">
      <alignment vertical="center" wrapText="1"/>
      <protection locked="0"/>
    </xf>
    <xf numFmtId="166" fontId="35" fillId="0" borderId="0" xfId="0" applyNumberFormat="1" applyFont="1" applyAlignment="1" applyProtection="1">
      <alignment vertical="center" wrapText="1"/>
      <protection locked="0"/>
    </xf>
    <xf numFmtId="0" fontId="35" fillId="0" borderId="0" xfId="0" applyFont="1" applyAlignment="1" applyProtection="1">
      <protection locked="0"/>
    </xf>
    <xf numFmtId="0" fontId="6" fillId="0" borderId="0" xfId="0" applyFont="1" applyAlignment="1"/>
    <xf numFmtId="0" fontId="35" fillId="0" borderId="0" xfId="0" applyFont="1" applyAlignment="1"/>
    <xf numFmtId="0" fontId="35" fillId="0" borderId="0" xfId="0" applyFont="1" applyAlignment="1">
      <alignment horizontal="center"/>
    </xf>
    <xf numFmtId="165" fontId="35" fillId="0" borderId="0" xfId="0" applyNumberFormat="1" applyFont="1" applyAlignment="1"/>
    <xf numFmtId="0" fontId="17" fillId="0" borderId="11" xfId="0" applyFont="1" applyBorder="1" applyAlignment="1">
      <alignment horizontal="left" vertical="center"/>
    </xf>
    <xf numFmtId="0" fontId="8" fillId="0" borderId="0" xfId="0" applyFont="1" applyAlignment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35" fillId="0" borderId="0" xfId="0" applyFont="1" applyAlignment="1">
      <alignment horizontal="right"/>
    </xf>
    <xf numFmtId="0" fontId="6" fillId="26" borderId="12" xfId="0" applyFont="1" applyFill="1" applyBorder="1" applyAlignment="1">
      <alignment horizontal="right"/>
    </xf>
    <xf numFmtId="0" fontId="6" fillId="26" borderId="1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right" vertical="top"/>
    </xf>
    <xf numFmtId="0" fontId="36" fillId="0" borderId="16" xfId="0" applyFont="1" applyBorder="1" applyAlignment="1">
      <alignment horizontal="right"/>
    </xf>
    <xf numFmtId="0" fontId="11" fillId="0" borderId="0" xfId="0" applyFont="1" applyBorder="1" applyAlignment="1">
      <alignment horizontal="right" vertical="top"/>
    </xf>
    <xf numFmtId="0" fontId="13" fillId="0" borderId="15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22" fontId="9" fillId="0" borderId="15" xfId="0" applyNumberFormat="1" applyFont="1" applyBorder="1" applyAlignment="1">
      <alignment horizontal="right" vertical="center"/>
    </xf>
    <xf numFmtId="22" fontId="35" fillId="0" borderId="17" xfId="0" applyNumberFormat="1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IY Pav - O-C Diagr.</a:t>
            </a:r>
          </a:p>
        </c:rich>
      </c:tx>
      <c:layout>
        <c:manualLayout>
          <c:xMode val="edge"/>
          <c:yMode val="edge"/>
          <c:x val="0.3924812030075188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17737</c:v>
                </c:pt>
                <c:pt idx="2">
                  <c:v>24340.5</c:v>
                </c:pt>
                <c:pt idx="3">
                  <c:v>25097.5</c:v>
                </c:pt>
                <c:pt idx="4">
                  <c:v>25098</c:v>
                </c:pt>
                <c:pt idx="5">
                  <c:v>25107.5</c:v>
                </c:pt>
                <c:pt idx="6">
                  <c:v>25108</c:v>
                </c:pt>
                <c:pt idx="7">
                  <c:v>25122.5</c:v>
                </c:pt>
                <c:pt idx="8">
                  <c:v>25123</c:v>
                </c:pt>
                <c:pt idx="9">
                  <c:v>26379.5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72-4AF0-986F-F8027CD16B0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17737</c:v>
                </c:pt>
                <c:pt idx="2">
                  <c:v>24340.5</c:v>
                </c:pt>
                <c:pt idx="3">
                  <c:v>25097.5</c:v>
                </c:pt>
                <c:pt idx="4">
                  <c:v>25098</c:v>
                </c:pt>
                <c:pt idx="5">
                  <c:v>25107.5</c:v>
                </c:pt>
                <c:pt idx="6">
                  <c:v>25108</c:v>
                </c:pt>
                <c:pt idx="7">
                  <c:v>25122.5</c:v>
                </c:pt>
                <c:pt idx="8">
                  <c:v>25123</c:v>
                </c:pt>
                <c:pt idx="9">
                  <c:v>26379.5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-1.6051999991759658E-3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72-4AF0-986F-F8027CD16B0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17737</c:v>
                </c:pt>
                <c:pt idx="2">
                  <c:v>24340.5</c:v>
                </c:pt>
                <c:pt idx="3">
                  <c:v>25097.5</c:v>
                </c:pt>
                <c:pt idx="4">
                  <c:v>25098</c:v>
                </c:pt>
                <c:pt idx="5">
                  <c:v>25107.5</c:v>
                </c:pt>
                <c:pt idx="6">
                  <c:v>25108</c:v>
                </c:pt>
                <c:pt idx="7">
                  <c:v>25122.5</c:v>
                </c:pt>
                <c:pt idx="8">
                  <c:v>25123</c:v>
                </c:pt>
                <c:pt idx="9">
                  <c:v>26379.5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72-4AF0-986F-F8027CD16B0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17737</c:v>
                </c:pt>
                <c:pt idx="2">
                  <c:v>24340.5</c:v>
                </c:pt>
                <c:pt idx="3">
                  <c:v>25097.5</c:v>
                </c:pt>
                <c:pt idx="4">
                  <c:v>25098</c:v>
                </c:pt>
                <c:pt idx="5">
                  <c:v>25107.5</c:v>
                </c:pt>
                <c:pt idx="6">
                  <c:v>25108</c:v>
                </c:pt>
                <c:pt idx="7">
                  <c:v>25122.5</c:v>
                </c:pt>
                <c:pt idx="8">
                  <c:v>25123</c:v>
                </c:pt>
                <c:pt idx="9">
                  <c:v>26379.5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-8.3513799996580929E-2</c:v>
                </c:pt>
                <c:pt idx="9">
                  <c:v>0.10642879985971376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72-4AF0-986F-F8027CD16B0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17737</c:v>
                </c:pt>
                <c:pt idx="2">
                  <c:v>24340.5</c:v>
                </c:pt>
                <c:pt idx="3">
                  <c:v>25097.5</c:v>
                </c:pt>
                <c:pt idx="4">
                  <c:v>25098</c:v>
                </c:pt>
                <c:pt idx="5">
                  <c:v>25107.5</c:v>
                </c:pt>
                <c:pt idx="6">
                  <c:v>25108</c:v>
                </c:pt>
                <c:pt idx="7">
                  <c:v>25122.5</c:v>
                </c:pt>
                <c:pt idx="8">
                  <c:v>25123</c:v>
                </c:pt>
                <c:pt idx="9">
                  <c:v>26379.5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3">
                  <c:v>0.15187987639365019</c:v>
                </c:pt>
                <c:pt idx="4">
                  <c:v>0.15217765729175881</c:v>
                </c:pt>
                <c:pt idx="5">
                  <c:v>0.15518354115192778</c:v>
                </c:pt>
                <c:pt idx="6">
                  <c:v>0.1554231171758147</c:v>
                </c:pt>
                <c:pt idx="7">
                  <c:v>0.15978358086431399</c:v>
                </c:pt>
                <c:pt idx="8">
                  <c:v>0.15958998526184587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72-4AF0-986F-F8027CD16B0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17737</c:v>
                </c:pt>
                <c:pt idx="2">
                  <c:v>24340.5</c:v>
                </c:pt>
                <c:pt idx="3">
                  <c:v>25097.5</c:v>
                </c:pt>
                <c:pt idx="4">
                  <c:v>25098</c:v>
                </c:pt>
                <c:pt idx="5">
                  <c:v>25107.5</c:v>
                </c:pt>
                <c:pt idx="6">
                  <c:v>25108</c:v>
                </c:pt>
                <c:pt idx="7">
                  <c:v>25122.5</c:v>
                </c:pt>
                <c:pt idx="8">
                  <c:v>25123</c:v>
                </c:pt>
                <c:pt idx="9">
                  <c:v>26379.5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72-4AF0-986F-F8027CD16B0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7.8399999999999997E-4</c:v>
                  </c:pt>
                  <c:pt idx="4">
                    <c:v>1.3730000000000001E-3</c:v>
                  </c:pt>
                  <c:pt idx="5">
                    <c:v>8.34E-4</c:v>
                  </c:pt>
                  <c:pt idx="6">
                    <c:v>1.4959999999999999E-3</c:v>
                  </c:pt>
                  <c:pt idx="7">
                    <c:v>8.0099999999999995E-4</c:v>
                  </c:pt>
                  <c:pt idx="8">
                    <c:v>1.732E-3</c:v>
                  </c:pt>
                  <c:pt idx="9">
                    <c:v>1.8439999999999999E-3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17737</c:v>
                </c:pt>
                <c:pt idx="2">
                  <c:v>24340.5</c:v>
                </c:pt>
                <c:pt idx="3">
                  <c:v>25097.5</c:v>
                </c:pt>
                <c:pt idx="4">
                  <c:v>25098</c:v>
                </c:pt>
                <c:pt idx="5">
                  <c:v>25107.5</c:v>
                </c:pt>
                <c:pt idx="6">
                  <c:v>25108</c:v>
                </c:pt>
                <c:pt idx="7">
                  <c:v>25122.5</c:v>
                </c:pt>
                <c:pt idx="8">
                  <c:v>25123</c:v>
                </c:pt>
                <c:pt idx="9">
                  <c:v>26379.5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72-4AF0-986F-F8027CD16B0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17737</c:v>
                </c:pt>
                <c:pt idx="2">
                  <c:v>24340.5</c:v>
                </c:pt>
                <c:pt idx="3">
                  <c:v>25097.5</c:v>
                </c:pt>
                <c:pt idx="4">
                  <c:v>25098</c:v>
                </c:pt>
                <c:pt idx="5">
                  <c:v>25107.5</c:v>
                </c:pt>
                <c:pt idx="6">
                  <c:v>25108</c:v>
                </c:pt>
                <c:pt idx="7">
                  <c:v>25122.5</c:v>
                </c:pt>
                <c:pt idx="8">
                  <c:v>25123</c:v>
                </c:pt>
                <c:pt idx="9">
                  <c:v>26379.5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-2.6869150530372019E-2</c:v>
                </c:pt>
                <c:pt idx="1">
                  <c:v>7.2215483076758777E-2</c:v>
                </c:pt>
                <c:pt idx="2">
                  <c:v>0.10910477540492523</c:v>
                </c:pt>
                <c:pt idx="3">
                  <c:v>0.11333362287860162</c:v>
                </c:pt>
                <c:pt idx="4">
                  <c:v>0.11333641604073745</c:v>
                </c:pt>
                <c:pt idx="5">
                  <c:v>0.11338948612131859</c:v>
                </c:pt>
                <c:pt idx="6">
                  <c:v>0.11339227928345445</c:v>
                </c:pt>
                <c:pt idx="7">
                  <c:v>0.1134732809853941</c:v>
                </c:pt>
                <c:pt idx="8">
                  <c:v>0.11347607414752996</c:v>
                </c:pt>
                <c:pt idx="9">
                  <c:v>0.12049529059492013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72-4AF0-986F-F8027CD16B0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17737</c:v>
                </c:pt>
                <c:pt idx="2">
                  <c:v>24340.5</c:v>
                </c:pt>
                <c:pt idx="3">
                  <c:v>25097.5</c:v>
                </c:pt>
                <c:pt idx="4">
                  <c:v>25098</c:v>
                </c:pt>
                <c:pt idx="5">
                  <c:v>25107.5</c:v>
                </c:pt>
                <c:pt idx="6">
                  <c:v>25108</c:v>
                </c:pt>
                <c:pt idx="7">
                  <c:v>25122.5</c:v>
                </c:pt>
                <c:pt idx="8">
                  <c:v>25123</c:v>
                </c:pt>
                <c:pt idx="9">
                  <c:v>26379.5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72-4AF0-986F-F8027CD16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678936"/>
        <c:axId val="1"/>
      </c:scatterChart>
      <c:valAx>
        <c:axId val="343678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3678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A21A194-D1A8-5919-131C-A054A5BCC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3.7109375" customWidth="1"/>
    <col min="4" max="4" width="9.42578125" customWidth="1"/>
    <col min="5" max="5" width="10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5.7109375" customWidth="1"/>
  </cols>
  <sheetData>
    <row r="1" spans="1:21" ht="20.25" x14ac:dyDescent="0.3">
      <c r="A1" s="1" t="s">
        <v>47</v>
      </c>
      <c r="F1" s="33" t="s">
        <v>41</v>
      </c>
      <c r="G1" s="28">
        <v>0</v>
      </c>
      <c r="H1" s="29"/>
      <c r="I1" s="34" t="s">
        <v>42</v>
      </c>
      <c r="J1" s="35" t="s">
        <v>41</v>
      </c>
      <c r="K1" s="36">
        <v>20.35295</v>
      </c>
      <c r="L1" s="31">
        <v>-70.461500000000001</v>
      </c>
      <c r="M1" s="32">
        <v>52500.635999999999</v>
      </c>
      <c r="N1" s="32">
        <v>0.88809959999999999</v>
      </c>
      <c r="O1" s="30" t="s">
        <v>43</v>
      </c>
      <c r="P1" s="31">
        <v>12</v>
      </c>
      <c r="Q1" s="31">
        <v>13.1</v>
      </c>
      <c r="R1" s="37" t="s">
        <v>44</v>
      </c>
      <c r="S1" s="38" t="s">
        <v>45</v>
      </c>
      <c r="T1" s="51" t="s">
        <v>46</v>
      </c>
      <c r="U1" s="53"/>
    </row>
    <row r="2" spans="1:21" x14ac:dyDescent="0.2">
      <c r="A2" s="48" t="s">
        <v>25</v>
      </c>
      <c r="B2" s="48" t="s">
        <v>43</v>
      </c>
      <c r="C2" s="55"/>
      <c r="U2" s="47"/>
    </row>
    <row r="3" spans="1:21" ht="13.5" thickBot="1" x14ac:dyDescent="0.25"/>
    <row r="4" spans="1:21" ht="14.25" thickTop="1" thickBot="1" x14ac:dyDescent="0.25">
      <c r="A4" s="5" t="s">
        <v>2</v>
      </c>
      <c r="C4" s="25">
        <v>36748.415000000001</v>
      </c>
      <c r="D4" s="26">
        <v>0.8881</v>
      </c>
      <c r="E4" s="39" t="s">
        <v>50</v>
      </c>
    </row>
    <row r="5" spans="1:21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21" x14ac:dyDescent="0.2">
      <c r="A6" s="5" t="s">
        <v>3</v>
      </c>
    </row>
    <row r="7" spans="1:21" x14ac:dyDescent="0.2">
      <c r="A7" t="s">
        <v>4</v>
      </c>
      <c r="C7" s="54">
        <v>36748.415000000001</v>
      </c>
      <c r="D7" s="27" t="s">
        <v>48</v>
      </c>
    </row>
    <row r="8" spans="1:21" x14ac:dyDescent="0.2">
      <c r="A8" t="s">
        <v>5</v>
      </c>
      <c r="C8" s="54">
        <v>0.88809959999999999</v>
      </c>
      <c r="D8" s="27" t="s">
        <v>48</v>
      </c>
    </row>
    <row r="9" spans="1:21" x14ac:dyDescent="0.2">
      <c r="A9" s="22" t="s">
        <v>32</v>
      </c>
      <c r="C9" s="23">
        <v>21</v>
      </c>
      <c r="D9" s="20" t="str">
        <f>"F"&amp;C9</f>
        <v>F21</v>
      </c>
      <c r="E9" s="21" t="str">
        <f>"G"&amp;C9</f>
        <v>G21</v>
      </c>
    </row>
    <row r="10" spans="1:21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1" x14ac:dyDescent="0.2">
      <c r="A11" s="10" t="s">
        <v>17</v>
      </c>
      <c r="B11" s="10"/>
      <c r="C11" s="19">
        <f ca="1">INTERCEPT(INDIRECT($E$9):G992,INDIRECT($D$9):F992)</f>
        <v>-2.6869150530372019E-2</v>
      </c>
      <c r="D11" s="3"/>
      <c r="E11" s="10"/>
    </row>
    <row r="12" spans="1:21" x14ac:dyDescent="0.2">
      <c r="A12" s="10" t="s">
        <v>18</v>
      </c>
      <c r="B12" s="10"/>
      <c r="C12" s="19">
        <f ca="1">SLOPE(INDIRECT($E$9):G992,INDIRECT($D$9):F992)</f>
        <v>5.5863242716993179E-6</v>
      </c>
      <c r="D12" s="3"/>
      <c r="E12" s="10"/>
    </row>
    <row r="13" spans="1:21" x14ac:dyDescent="0.2">
      <c r="A13" s="10" t="s">
        <v>20</v>
      </c>
      <c r="B13" s="10"/>
      <c r="C13" s="3" t="s">
        <v>15</v>
      </c>
      <c r="E13" s="56" t="s">
        <v>59</v>
      </c>
      <c r="F13" s="57" t="s">
        <v>56</v>
      </c>
    </row>
    <row r="14" spans="1:21" x14ac:dyDescent="0.2">
      <c r="A14" s="10"/>
      <c r="B14" s="10"/>
      <c r="C14" s="10"/>
      <c r="E14" s="58" t="s">
        <v>34</v>
      </c>
      <c r="F14" s="61">
        <v>1</v>
      </c>
    </row>
    <row r="15" spans="1:21" x14ac:dyDescent="0.2">
      <c r="A15" s="12" t="s">
        <v>19</v>
      </c>
      <c r="B15" s="10"/>
      <c r="C15" s="13">
        <f ca="1">(C7+C11)+(C8+C12)*INT(MAX(F21:F3533))</f>
        <v>60175.714840897432</v>
      </c>
      <c r="E15" s="58" t="s">
        <v>31</v>
      </c>
      <c r="F15" s="62">
        <f ca="1">NOW()+15018.5+$C$5/24</f>
        <v>60518.744833912031</v>
      </c>
    </row>
    <row r="16" spans="1:21" x14ac:dyDescent="0.2">
      <c r="A16" s="15" t="s">
        <v>6</v>
      </c>
      <c r="B16" s="10"/>
      <c r="C16" s="16">
        <f ca="1">+C8+C12</f>
        <v>0.88810518632427171</v>
      </c>
      <c r="E16" s="58" t="s">
        <v>35</v>
      </c>
      <c r="F16" s="62">
        <f ca="1">ROUND(2*(F15-$C$7)/$C$8,0)/2+F14</f>
        <v>26766.5</v>
      </c>
    </row>
    <row r="17" spans="1:23" ht="13.5" thickBot="1" x14ac:dyDescent="0.25">
      <c r="A17" s="14" t="s">
        <v>28</v>
      </c>
      <c r="B17" s="10"/>
      <c r="C17" s="10">
        <f>COUNT(C21:C2191)</f>
        <v>10</v>
      </c>
      <c r="E17" s="58" t="s">
        <v>36</v>
      </c>
      <c r="F17" s="63">
        <f ca="1">ROUND(2*(F15-$C$15)/$C$16,0)/2+F14</f>
        <v>387</v>
      </c>
    </row>
    <row r="18" spans="1:23" ht="14.25" thickTop="1" thickBot="1" x14ac:dyDescent="0.25">
      <c r="A18" s="15" t="s">
        <v>7</v>
      </c>
      <c r="B18" s="10"/>
      <c r="C18" s="17">
        <f ca="1">+C15</f>
        <v>60175.714840897432</v>
      </c>
      <c r="D18" s="18">
        <f ca="1">+C16</f>
        <v>0.88810518632427171</v>
      </c>
      <c r="E18" s="60" t="s">
        <v>57</v>
      </c>
      <c r="F18" s="64">
        <f ca="1">+$C$15+$C$16*$F$17-15018.5-$C$5/24</f>
        <v>45501.307381338258</v>
      </c>
    </row>
    <row r="19" spans="1:23" ht="13.5" thickTop="1" x14ac:dyDescent="0.2">
      <c r="E19" s="59" t="s">
        <v>58</v>
      </c>
      <c r="F19" s="65">
        <f ca="1">+($C$15+$C$16*$F$17)-($C$16/2)-15018.5-$C$5/24</f>
        <v>45500.863328745094</v>
      </c>
    </row>
    <row r="20" spans="1:23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53</v>
      </c>
      <c r="M20" s="7" t="s">
        <v>26</v>
      </c>
      <c r="N20" s="7" t="s">
        <v>27</v>
      </c>
      <c r="O20" s="7" t="s">
        <v>24</v>
      </c>
      <c r="P20" s="6" t="s">
        <v>23</v>
      </c>
      <c r="Q20" s="4" t="s">
        <v>16</v>
      </c>
      <c r="U20" s="24" t="s">
        <v>33</v>
      </c>
    </row>
    <row r="21" spans="1:23" ht="12" customHeight="1" x14ac:dyDescent="0.2">
      <c r="A21" t="s">
        <v>49</v>
      </c>
      <c r="C21" s="8">
        <v>36748.415000000001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-2.6869150530372019E-2</v>
      </c>
      <c r="Q21" s="2">
        <f>+C21-15018.5</f>
        <v>21729.915000000001</v>
      </c>
    </row>
    <row r="22" spans="1:23" ht="12" customHeight="1" x14ac:dyDescent="0.2">
      <c r="A22" t="s">
        <v>48</v>
      </c>
      <c r="C22" s="8">
        <v>52500.635999999999</v>
      </c>
      <c r="D22" s="8" t="s">
        <v>15</v>
      </c>
      <c r="E22">
        <f>+(C22-C$7)/C$8</f>
        <v>17736.998192545067</v>
      </c>
      <c r="F22">
        <f>ROUND(2*E22,0)/2</f>
        <v>17737</v>
      </c>
      <c r="G22">
        <f>+C22-(C$7+F22*C$8)</f>
        <v>-1.6051999991759658E-3</v>
      </c>
      <c r="I22">
        <f>+G22</f>
        <v>-1.6051999991759658E-3</v>
      </c>
      <c r="O22">
        <f ca="1">+C$11+C$12*$F22</f>
        <v>7.2215483076758777E-2</v>
      </c>
      <c r="Q22" s="2">
        <f>+C22-15018.5</f>
        <v>37482.135999999999</v>
      </c>
    </row>
    <row r="23" spans="1:23" ht="12" customHeight="1" x14ac:dyDescent="0.2">
      <c r="A23" s="40" t="s">
        <v>0</v>
      </c>
      <c r="B23" s="41" t="s">
        <v>1</v>
      </c>
      <c r="C23" s="40">
        <v>58365.1198</v>
      </c>
      <c r="D23" s="8" t="s">
        <v>15</v>
      </c>
      <c r="E23">
        <f>+(C23-C$7)/C$8</f>
        <v>24340.405963475267</v>
      </c>
      <c r="F23">
        <f>ROUND(2*E23,0)/2</f>
        <v>24340.5</v>
      </c>
      <c r="G23">
        <f>+C23-(C$7+F23*C$8)</f>
        <v>-8.3513799996580929E-2</v>
      </c>
      <c r="K23">
        <f>+G23</f>
        <v>-8.3513799996580929E-2</v>
      </c>
      <c r="O23">
        <f ca="1">+C$11+C$12*$F23</f>
        <v>0.10910477540492523</v>
      </c>
      <c r="Q23" s="2">
        <f>+C23-15018.5</f>
        <v>43346.6198</v>
      </c>
      <c r="U23" s="47"/>
    </row>
    <row r="24" spans="1:23" ht="12" customHeight="1" x14ac:dyDescent="0.2">
      <c r="A24" s="42" t="s">
        <v>51</v>
      </c>
      <c r="B24" s="43" t="s">
        <v>1</v>
      </c>
      <c r="C24" s="44">
        <v>59037.646590876393</v>
      </c>
      <c r="D24" s="42">
        <v>7.8399999999999997E-4</v>
      </c>
      <c r="E24">
        <f t="shared" ref="E24:E29" si="0">+(C24-C$7)/C$8</f>
        <v>25097.671016715234</v>
      </c>
      <c r="F24">
        <f t="shared" ref="F24:F29" si="1">ROUND(2*E24,0)/2</f>
        <v>25097.5</v>
      </c>
      <c r="G24">
        <f t="shared" ref="G24:G29" si="2">+C24-(C$7+F24*C$8)</f>
        <v>0.15187987639365019</v>
      </c>
      <c r="L24">
        <f t="shared" ref="L24:L29" si="3">+G24</f>
        <v>0.15187987639365019</v>
      </c>
      <c r="O24">
        <f t="shared" ref="O24:O29" ca="1" si="4">+C$11+C$12*$F24</f>
        <v>0.11333362287860162</v>
      </c>
      <c r="Q24" s="2">
        <f t="shared" ref="Q24:Q29" si="5">+C24-15018.5</f>
        <v>44019.146590876393</v>
      </c>
      <c r="W24" s="52" t="s">
        <v>55</v>
      </c>
    </row>
    <row r="25" spans="1:23" ht="12" customHeight="1" x14ac:dyDescent="0.2">
      <c r="A25" s="43" t="s">
        <v>51</v>
      </c>
      <c r="B25" s="43" t="s">
        <v>52</v>
      </c>
      <c r="C25" s="45">
        <v>59038.090938457288</v>
      </c>
      <c r="D25" s="46">
        <v>1.3730000000000001E-3</v>
      </c>
      <c r="E25">
        <f t="shared" si="0"/>
        <v>25098.17135201647</v>
      </c>
      <c r="F25">
        <f t="shared" si="1"/>
        <v>25098</v>
      </c>
      <c r="G25">
        <f t="shared" si="2"/>
        <v>0.15217765729175881</v>
      </c>
      <c r="L25">
        <f t="shared" si="3"/>
        <v>0.15217765729175881</v>
      </c>
      <c r="O25">
        <f t="shared" ca="1" si="4"/>
        <v>0.11333641604073745</v>
      </c>
      <c r="Q25" s="2">
        <f t="shared" si="5"/>
        <v>44019.590938457288</v>
      </c>
      <c r="W25" s="52" t="s">
        <v>55</v>
      </c>
    </row>
    <row r="26" spans="1:23" ht="12" customHeight="1" x14ac:dyDescent="0.2">
      <c r="A26" s="43" t="s">
        <v>51</v>
      </c>
      <c r="B26" s="43" t="s">
        <v>1</v>
      </c>
      <c r="C26" s="45">
        <v>59046.530890541151</v>
      </c>
      <c r="D26" s="46">
        <v>8.34E-4</v>
      </c>
      <c r="E26">
        <f t="shared" si="0"/>
        <v>25107.674736641195</v>
      </c>
      <c r="F26">
        <f t="shared" si="1"/>
        <v>25107.5</v>
      </c>
      <c r="G26">
        <f t="shared" si="2"/>
        <v>0.15518354115192778</v>
      </c>
      <c r="L26">
        <f t="shared" si="3"/>
        <v>0.15518354115192778</v>
      </c>
      <c r="O26">
        <f t="shared" ca="1" si="4"/>
        <v>0.11338948612131859</v>
      </c>
      <c r="Q26" s="2">
        <f t="shared" si="5"/>
        <v>44028.030890541151</v>
      </c>
      <c r="W26" s="52" t="s">
        <v>55</v>
      </c>
    </row>
    <row r="27" spans="1:23" ht="12" customHeight="1" x14ac:dyDescent="0.2">
      <c r="A27" s="43" t="s">
        <v>51</v>
      </c>
      <c r="B27" s="43" t="s">
        <v>52</v>
      </c>
      <c r="C27" s="45">
        <v>59046.975179917179</v>
      </c>
      <c r="D27" s="46">
        <v>1.4959999999999999E-3</v>
      </c>
      <c r="E27">
        <f t="shared" si="0"/>
        <v>25108.175006403762</v>
      </c>
      <c r="F27">
        <f t="shared" si="1"/>
        <v>25108</v>
      </c>
      <c r="G27">
        <f t="shared" si="2"/>
        <v>0.1554231171758147</v>
      </c>
      <c r="L27">
        <f t="shared" si="3"/>
        <v>0.1554231171758147</v>
      </c>
      <c r="O27">
        <f t="shared" ca="1" si="4"/>
        <v>0.11339227928345445</v>
      </c>
      <c r="Q27" s="2">
        <f t="shared" si="5"/>
        <v>44028.475179917179</v>
      </c>
      <c r="W27" s="52" t="s">
        <v>55</v>
      </c>
    </row>
    <row r="28" spans="1:23" ht="12" customHeight="1" x14ac:dyDescent="0.2">
      <c r="A28" s="43" t="s">
        <v>51</v>
      </c>
      <c r="B28" s="43" t="s">
        <v>1</v>
      </c>
      <c r="C28" s="45">
        <v>59059.856984580867</v>
      </c>
      <c r="D28" s="46">
        <v>8.0099999999999995E-4</v>
      </c>
      <c r="E28">
        <f t="shared" si="0"/>
        <v>25122.679916285138</v>
      </c>
      <c r="F28">
        <f t="shared" si="1"/>
        <v>25122.5</v>
      </c>
      <c r="G28">
        <f t="shared" si="2"/>
        <v>0.15978358086431399</v>
      </c>
      <c r="L28">
        <f t="shared" si="3"/>
        <v>0.15978358086431399</v>
      </c>
      <c r="O28">
        <f t="shared" ca="1" si="4"/>
        <v>0.1134732809853941</v>
      </c>
      <c r="Q28" s="2">
        <f t="shared" si="5"/>
        <v>44041.356984580867</v>
      </c>
      <c r="W28" s="52" t="s">
        <v>55</v>
      </c>
    </row>
    <row r="29" spans="1:23" ht="12" customHeight="1" x14ac:dyDescent="0.2">
      <c r="A29" s="43" t="s">
        <v>51</v>
      </c>
      <c r="B29" s="43" t="s">
        <v>52</v>
      </c>
      <c r="C29" s="45">
        <v>59060.300840785261</v>
      </c>
      <c r="D29" s="46">
        <v>1.732E-3</v>
      </c>
      <c r="E29">
        <f t="shared" si="0"/>
        <v>25123.179698296521</v>
      </c>
      <c r="F29">
        <f t="shared" si="1"/>
        <v>25123</v>
      </c>
      <c r="G29">
        <f t="shared" si="2"/>
        <v>0.15958998526184587</v>
      </c>
      <c r="L29">
        <f t="shared" si="3"/>
        <v>0.15958998526184587</v>
      </c>
      <c r="O29">
        <f t="shared" ca="1" si="4"/>
        <v>0.11347607414752996</v>
      </c>
      <c r="Q29" s="2">
        <f t="shared" si="5"/>
        <v>44041.800840785261</v>
      </c>
      <c r="W29" s="52" t="s">
        <v>55</v>
      </c>
    </row>
    <row r="30" spans="1:23" ht="12" customHeight="1" x14ac:dyDescent="0.2">
      <c r="A30" s="48" t="s">
        <v>54</v>
      </c>
      <c r="B30" s="49" t="s">
        <v>1</v>
      </c>
      <c r="C30" s="48">
        <v>60176.144826999865</v>
      </c>
      <c r="D30" s="50">
        <v>1.8439999999999999E-3</v>
      </c>
      <c r="E30">
        <f t="shared" ref="E30" si="6">+(C30-C$7)/C$8</f>
        <v>26379.619838810719</v>
      </c>
      <c r="F30">
        <f t="shared" ref="F30" si="7">ROUND(2*E30,0)/2</f>
        <v>26379.5</v>
      </c>
      <c r="G30">
        <f t="shared" ref="G30" si="8">+C30-(C$7+F30*C$8)</f>
        <v>0.10642879985971376</v>
      </c>
      <c r="K30">
        <f>+G30</f>
        <v>0.10642879985971376</v>
      </c>
      <c r="O30">
        <f t="shared" ref="O30" ca="1" si="9">+C$11+C$12*$F30</f>
        <v>0.12049529059492013</v>
      </c>
      <c r="Q30" s="2">
        <f t="shared" ref="Q30" si="10">+C30-15018.5</f>
        <v>45157.644826999865</v>
      </c>
      <c r="W30" s="52" t="s">
        <v>55</v>
      </c>
    </row>
    <row r="31" spans="1:23" ht="12" customHeight="1" x14ac:dyDescent="0.2">
      <c r="C31" s="8"/>
      <c r="D31" s="8"/>
      <c r="Q31" s="2"/>
    </row>
    <row r="32" spans="1:23" ht="12" customHeight="1" x14ac:dyDescent="0.2">
      <c r="C32" s="8"/>
      <c r="D32" s="8"/>
      <c r="Q32" s="2"/>
    </row>
    <row r="33" spans="3:17" ht="12" customHeight="1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3473" r:id="rId1" display="http://vsolj.cetus-net.org/bulletin.html" xr:uid="{00000000-0004-0000-0000-000000000000}"/>
    <hyperlink ref="H63466" r:id="rId2" display="https://www.aavso.org/ejaavso" xr:uid="{00000000-0004-0000-0000-000001000000}"/>
    <hyperlink ref="I63473" r:id="rId3" display="http://vsolj.cetus-net.org/bulletin.html" xr:uid="{00000000-0004-0000-0000-000002000000}"/>
    <hyperlink ref="AQ57124" r:id="rId4" display="http://cdsbib.u-strasbg.fr/cgi-bin/cdsbib?1990RMxAA..21..381G" xr:uid="{00000000-0004-0000-0000-000003000000}"/>
    <hyperlink ref="H63470" r:id="rId5" display="https://www.aavso.org/ejaavso" xr:uid="{00000000-0004-0000-0000-000004000000}"/>
    <hyperlink ref="AP4488" r:id="rId6" display="http://cdsbib.u-strasbg.fr/cgi-bin/cdsbib?1990RMxAA..21..381G" xr:uid="{00000000-0004-0000-0000-000005000000}"/>
    <hyperlink ref="AP4491" r:id="rId7" display="http://cdsbib.u-strasbg.fr/cgi-bin/cdsbib?1990RMxAA..21..381G" xr:uid="{00000000-0004-0000-0000-000006000000}"/>
    <hyperlink ref="AP4489" r:id="rId8" display="http://cdsbib.u-strasbg.fr/cgi-bin/cdsbib?1990RMxAA..21..381G" xr:uid="{00000000-0004-0000-0000-000007000000}"/>
    <hyperlink ref="AP4473" r:id="rId9" display="http://cdsbib.u-strasbg.fr/cgi-bin/cdsbib?1990RMxAA..21..381G" xr:uid="{00000000-0004-0000-0000-000008000000}"/>
    <hyperlink ref="AQ4702" r:id="rId10" display="http://cdsbib.u-strasbg.fr/cgi-bin/cdsbib?1990RMxAA..21..381G" xr:uid="{00000000-0004-0000-0000-000009000000}"/>
    <hyperlink ref="AQ4706" r:id="rId11" display="http://cdsbib.u-strasbg.fr/cgi-bin/cdsbib?1990RMxAA..21..381G" xr:uid="{00000000-0004-0000-0000-00000A000000}"/>
    <hyperlink ref="AQ64386" r:id="rId12" display="http://cdsbib.u-strasbg.fr/cgi-bin/cdsbib?1990RMxAA..21..381G" xr:uid="{00000000-0004-0000-0000-00000B000000}"/>
    <hyperlink ref="I1594" r:id="rId13" display="http://vsolj.cetus-net.org/bulletin.html" xr:uid="{00000000-0004-0000-0000-00000C000000}"/>
    <hyperlink ref="H1594" r:id="rId14" display="http://vsolj.cetus-net.org/bulletin.html" xr:uid="{00000000-0004-0000-0000-00000D000000}"/>
    <hyperlink ref="AQ65047" r:id="rId15" display="http://cdsbib.u-strasbg.fr/cgi-bin/cdsbib?1990RMxAA..21..381G" xr:uid="{00000000-0004-0000-0000-00000E000000}"/>
    <hyperlink ref="AQ65046" r:id="rId16" display="http://cdsbib.u-strasbg.fr/cgi-bin/cdsbib?1990RMxAA..21..381G" xr:uid="{00000000-0004-0000-0000-00000F000000}"/>
    <hyperlink ref="AP2764" r:id="rId17" display="http://cdsbib.u-strasbg.fr/cgi-bin/cdsbib?1990RMxAA..21..381G" xr:uid="{00000000-0004-0000-0000-000010000000}"/>
    <hyperlink ref="AP2782" r:id="rId18" display="http://cdsbib.u-strasbg.fr/cgi-bin/cdsbib?1990RMxAA..21..381G" xr:uid="{00000000-0004-0000-0000-000011000000}"/>
    <hyperlink ref="AP2783" r:id="rId19" display="http://cdsbib.u-strasbg.fr/cgi-bin/cdsbib?1990RMxAA..21..381G" xr:uid="{00000000-0004-0000-0000-000012000000}"/>
    <hyperlink ref="AP277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2024-07-27T05:52:33Z</dcterms:modified>
</cp:coreProperties>
</file>