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9F91B38-63E7-4B99-A24E-8A5809E47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1" i="1"/>
  <c r="Q23" i="1"/>
  <c r="B2" i="1"/>
  <c r="A1" i="1"/>
  <c r="D9" i="1"/>
  <c r="E9" i="1"/>
  <c r="F14" i="1"/>
  <c r="F15" i="1" s="1"/>
  <c r="C17" i="1"/>
  <c r="Q22" i="1"/>
  <c r="E21" i="1" l="1"/>
  <c r="F21" i="1" s="1"/>
  <c r="G21" i="1" s="1"/>
  <c r="E23" i="1"/>
  <c r="F23" i="1" s="1"/>
  <c r="G23" i="1" s="1"/>
  <c r="K23" i="1" s="1"/>
  <c r="C11" i="1"/>
  <c r="C12" i="1"/>
  <c r="C16" i="1" l="1"/>
  <c r="D18" i="1" s="1"/>
  <c r="C15" i="1"/>
  <c r="O23" i="1"/>
  <c r="O21" i="1"/>
  <c r="O22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<sst xmlns="http://schemas.openxmlformats.org/spreadsheetml/2006/main" count="55" uniqueCount="53">
  <si>
    <t>JAVSO..44…26</t>
  </si>
  <si>
    <t>Kreiner Catalog 2004AcA....54..207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</si>
  <si>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</si>
  <si>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</si>
  <si>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</si>
  <si>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</si>
  <si>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</si>
  <si>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</si>
  <si>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</si>
  <si>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</si>
  <si>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</si>
  <si>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</si>
  <si>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</si>
  <si>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</si>
  <si>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</si>
  <si>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</si>
  <si>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</si>
  <si>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</si>
  <si>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</si>
  <si>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</si>
  <si>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</si>
  <si>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</si>
  <si>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</si>
  <si>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</si>
  <si>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</si>
  <si>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</si>
  <si>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</si>
  <si>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</si>
  <si>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</si>
  <si>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</si>
  <si>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</si>
  <si>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</si>
  <si>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</si>
  <si>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</si>
  <si>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</si>
  <si>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</si>
  <si>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</si>
  <si>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</si>
  <si>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</si>
  <si>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</si>
  <si>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</si>
  <si>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</si>
  <si>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</si>
  <si>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MU Pav</t>
  </si>
  <si>
    <t>G9100-0399</t>
  </si>
  <si>
    <t>EA/SD</t>
  </si>
  <si>
    <t>GCVS</t>
  </si>
  <si>
    <t>Elements 5C</t>
  </si>
  <si>
    <t xml:space="preserve">Mag p </t>
  </si>
  <si>
    <t>11.8-13.9</t>
  </si>
  <si>
    <t>Next ToM-P</t>
  </si>
  <si>
    <t>Next ToM-S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</si>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</sst>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/>
    </xf>
    <xf numFmtId="0" fontId="0" fillId="0" borderId="0" xfId="0" applyAlignment="1">
      <alignment horizontal="right"/>
    </xf>
    <xf numFmtId="0" fontId="0" fillId="26" borderId="11" xfId="0" applyFill="1" applyBorder="1" applyAlignment="1">
      <alignment horizontal="right" vertical="center"/>
    </xf>
    <xf numFmtId="0" fontId="0" fillId="26" borderId="12" xfId="0" applyFill="1" applyBorder="1" applyAlignment="1">
      <alignment horizontal="center" vertical="center"/>
    </xf>
    <xf numFmtId="0" fontId="34" fillId="0" borderId="13" xfId="0" applyFont="1" applyBorder="1" applyAlignment="1">
      <alignment horizontal="right" vertical="top"/>
    </xf>
    <xf numFmtId="0" fontId="13" fillId="0" borderId="14" xfId="0" applyFont="1" applyBorder="1" applyAlignment="1">
      <alignment horizontal="right" vertical="center"/>
    </xf>
    <xf numFmtId="165" fontId="35" fillId="0" borderId="14" xfId="0" applyNumberFormat="1" applyFont="1" applyBorder="1" applyAlignment="1">
      <alignment horizontal="right" vertical="center"/>
    </xf>
    <xf numFmtId="22" fontId="35" fillId="0" borderId="14" xfId="0" applyNumberFormat="1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Pav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96-4A95-ACB3-5A9F74C3E2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1.4141799998469651E-2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96-4A95-ACB3-5A9F74C3E2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96-4A95-ACB3-5A9F74C3E2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2.6092899999639485E-2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96-4A95-ACB3-5A9F74C3E2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96-4A95-ACB3-5A9F74C3E2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96-4A95-ACB3-5A9F74C3E2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96-4A95-ACB3-5A9F74C3E2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-8.3246864689047635E-4</c:v>
                </c:pt>
                <c:pt idx="1">
                  <c:v>1.7728879936898291E-2</c:v>
                </c:pt>
                <c:pt idx="2">
                  <c:v>2.3338288708101326E-2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96-4A95-ACB3-5A9F74C3E29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21366</c:v>
                </c:pt>
                <c:pt idx="2">
                  <c:v>27823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96-4A95-ACB3-5A9F74C3E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870112"/>
        <c:axId val="1"/>
      </c:scatterChart>
      <c:valAx>
        <c:axId val="54287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870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137A15-7885-5E47-7EC8-703C70A22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7" customWidth="1"/>
    <col min="2" max="2" width="4.85546875" customWidth="1"/>
    <col min="3" max="3" width="11.85546875" customWidth="1"/>
    <col min="4" max="4" width="10.28515625" customWidth="1"/>
    <col min="5" max="5" width="11.28515625" customWidth="1"/>
    <col min="6" max="6" width="18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tr">
        <f>F1&amp;" / GSC "&amp;RIGHT(I1,9)</f>
        <v>MU Pav / GSC 9100-0399</v>
      </c>
      <c r="F1" s="34" t="s">
        <v>43</v>
      </c>
      <c r="G1" s="29">
        <v>0</v>
      </c>
      <c r="H1" s="30"/>
      <c r="I1" s="35" t="s">
        <v>44</v>
      </c>
      <c r="J1" s="36" t="s">
        <v>43</v>
      </c>
      <c r="K1" s="37">
        <v>20.35229</v>
      </c>
      <c r="L1" s="32">
        <v>-61.032699999999998</v>
      </c>
      <c r="M1" s="33">
        <v>52500.074999999997</v>
      </c>
      <c r="N1" s="33">
        <v>0.73549770000000003</v>
      </c>
      <c r="O1" s="31" t="s">
        <v>45</v>
      </c>
      <c r="P1" s="32">
        <v>11.8</v>
      </c>
      <c r="Q1" s="32">
        <v>13.9</v>
      </c>
    </row>
    <row r="2" spans="1:17" x14ac:dyDescent="0.2">
      <c r="A2" t="s">
        <v>26</v>
      </c>
      <c r="B2" t="str">
        <f>O1</f>
        <v>EA/SD</v>
      </c>
      <c r="C2" s="28"/>
      <c r="D2" s="3"/>
    </row>
    <row r="3" spans="1:17" ht="13.5" thickBot="1" x14ac:dyDescent="0.25"/>
    <row r="4" spans="1:17" ht="14.25" thickTop="1" thickBot="1" x14ac:dyDescent="0.25">
      <c r="A4" s="5" t="s">
        <v>3</v>
      </c>
      <c r="C4" s="25">
        <v>36785.417000000001</v>
      </c>
      <c r="D4" s="26">
        <v>0.73604999999999998</v>
      </c>
    </row>
    <row r="5" spans="1:17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7" x14ac:dyDescent="0.2">
      <c r="A6" s="5" t="s">
        <v>4</v>
      </c>
    </row>
    <row r="7" spans="1:17" x14ac:dyDescent="0.2">
      <c r="A7" t="s">
        <v>5</v>
      </c>
      <c r="C7" s="41">
        <v>36785.417000000001</v>
      </c>
      <c r="D7" s="27" t="s">
        <v>52</v>
      </c>
    </row>
    <row r="8" spans="1:17" x14ac:dyDescent="0.2">
      <c r="A8" t="s">
        <v>6</v>
      </c>
      <c r="C8" s="41">
        <v>0.73549770000000003</v>
      </c>
      <c r="D8" s="27" t="s">
        <v>47</v>
      </c>
    </row>
    <row r="9" spans="1:17" x14ac:dyDescent="0.2">
      <c r="A9" s="22" t="s">
        <v>34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17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7" x14ac:dyDescent="0.2">
      <c r="A11" s="10" t="s">
        <v>18</v>
      </c>
      <c r="B11" s="10"/>
      <c r="C11" s="19">
        <f ca="1">INTERCEPT(INDIRECT($E$9):G992,INDIRECT($D$9):F992)</f>
        <v>-8.3246864689047635E-4</v>
      </c>
      <c r="D11" s="3"/>
      <c r="E11" s="10"/>
    </row>
    <row r="12" spans="1:17" x14ac:dyDescent="0.2">
      <c r="A12" s="10" t="s">
        <v>19</v>
      </c>
      <c r="B12" s="10"/>
      <c r="C12" s="19">
        <f ca="1">SLOPE(INDIRECT($E$9):G992,INDIRECT($D$9):F992)</f>
        <v>8.6873296750860081E-7</v>
      </c>
      <c r="D12" s="3"/>
      <c r="E12" s="42" t="s">
        <v>48</v>
      </c>
      <c r="F12" s="43" t="s">
        <v>49</v>
      </c>
    </row>
    <row r="13" spans="1:17" x14ac:dyDescent="0.2">
      <c r="A13" s="10" t="s">
        <v>21</v>
      </c>
      <c r="B13" s="10"/>
      <c r="C13" s="3" t="s">
        <v>16</v>
      </c>
      <c r="E13" s="44" t="s">
        <v>36</v>
      </c>
      <c r="F13" s="45">
        <v>1</v>
      </c>
    </row>
    <row r="14" spans="1:17" x14ac:dyDescent="0.2">
      <c r="A14" s="10"/>
      <c r="B14" s="10"/>
      <c r="C14" s="10"/>
      <c r="E14" s="44" t="s">
        <v>33</v>
      </c>
      <c r="F14" s="46">
        <f ca="1">NOW()+15018.5+$C$5/24</f>
        <v>60520.757324074075</v>
      </c>
    </row>
    <row r="15" spans="1:17" x14ac:dyDescent="0.2">
      <c r="A15" s="12" t="s">
        <v>20</v>
      </c>
      <c r="B15" s="10"/>
      <c r="C15" s="13">
        <f ca="1">(C7+C11)+(C8+C12)*INT(MAX(F21:F3533))</f>
        <v>57249.192845388709</v>
      </c>
      <c r="E15" s="44" t="s">
        <v>37</v>
      </c>
      <c r="F15" s="46">
        <f ca="1">ROUND(2*(F14-$C$7)/$C$8,0)/2+F13</f>
        <v>32272</v>
      </c>
    </row>
    <row r="16" spans="1:17" x14ac:dyDescent="0.2">
      <c r="A16" s="15" t="s">
        <v>7</v>
      </c>
      <c r="B16" s="10"/>
      <c r="C16" s="16">
        <f ca="1">+C8+C12</f>
        <v>0.73549856873296759</v>
      </c>
      <c r="E16" s="44" t="s">
        <v>38</v>
      </c>
      <c r="F16" s="46">
        <f ca="1">ROUND(2*(F14-$C$15)/$C$16,0)/2+F13</f>
        <v>4449</v>
      </c>
    </row>
    <row r="17" spans="1:21" ht="13.5" thickBot="1" x14ac:dyDescent="0.25">
      <c r="A17" s="14" t="s">
        <v>30</v>
      </c>
      <c r="B17" s="10"/>
      <c r="C17" s="10">
        <f>COUNT(C21:C2191)</f>
        <v>3</v>
      </c>
      <c r="E17" s="44" t="s">
        <v>50</v>
      </c>
      <c r="F17" s="47">
        <f ca="1">+$C$15+$C$16*$F$16-15018.5-$C$5/24</f>
        <v>45503.321811015019</v>
      </c>
    </row>
    <row r="18" spans="1:21" ht="14.25" thickTop="1" thickBot="1" x14ac:dyDescent="0.25">
      <c r="A18" s="15" t="s">
        <v>8</v>
      </c>
      <c r="B18" s="10"/>
      <c r="C18" s="17">
        <f ca="1">+C15</f>
        <v>57249.192845388709</v>
      </c>
      <c r="D18" s="18">
        <f ca="1">+C16</f>
        <v>0.73549856873296759</v>
      </c>
      <c r="E18" s="49" t="s">
        <v>51</v>
      </c>
      <c r="F18" s="48">
        <f ca="1">+($C$15+$C$16*$F$16)-($C$16/2)-15018.5-$C$5/24</f>
        <v>45502.954061730656</v>
      </c>
    </row>
    <row r="19" spans="1:21" ht="13.5" thickTop="1" x14ac:dyDescent="0.2"/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4" t="s">
        <v>35</v>
      </c>
    </row>
    <row r="21" spans="1:21" x14ac:dyDescent="0.2">
      <c r="A21" t="s">
        <v>46</v>
      </c>
      <c r="C21" s="8">
        <v>36785.417000000001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-8.3246864689047635E-4</v>
      </c>
      <c r="Q21" s="2">
        <f>+C21-15018.5</f>
        <v>21766.917000000001</v>
      </c>
    </row>
    <row r="22" spans="1:21" x14ac:dyDescent="0.2">
      <c r="A22" t="s">
        <v>1</v>
      </c>
      <c r="C22" s="8">
        <v>52500.074999999997</v>
      </c>
      <c r="D22" s="8" t="s">
        <v>16</v>
      </c>
      <c r="E22">
        <f>+(C22-C$7)/C$8</f>
        <v>21366.01922752443</v>
      </c>
      <c r="F22">
        <f>ROUND(2*E22,0)/2</f>
        <v>21366</v>
      </c>
      <c r="G22">
        <f>+C22-(C$7+F22*C$8)</f>
        <v>1.4141799998469651E-2</v>
      </c>
      <c r="I22">
        <f>+G22</f>
        <v>1.4141799998469651E-2</v>
      </c>
      <c r="O22">
        <f ca="1">+C$11+C$12*$F22</f>
        <v>1.7728879936898291E-2</v>
      </c>
      <c r="Q22" s="2">
        <f>+C22-15018.5</f>
        <v>37481.574999999997</v>
      </c>
    </row>
    <row r="23" spans="1:21" x14ac:dyDescent="0.2">
      <c r="A23" s="38" t="s">
        <v>0</v>
      </c>
      <c r="B23" s="39" t="s">
        <v>2</v>
      </c>
      <c r="C23" s="40">
        <v>57249.195599999999</v>
      </c>
      <c r="D23" s="40">
        <v>1E-4</v>
      </c>
      <c r="E23">
        <f>+(C23-C$7)/C$8</f>
        <v>27823.035476521542</v>
      </c>
      <c r="F23">
        <f>ROUND(2*E23,0)/2</f>
        <v>27823</v>
      </c>
      <c r="G23">
        <f>+C23-(C$7+F23*C$8)</f>
        <v>2.6092899999639485E-2</v>
      </c>
      <c r="K23">
        <f>+G23</f>
        <v>2.6092899999639485E-2</v>
      </c>
      <c r="O23">
        <f ca="1">+C$11+C$12*$F23</f>
        <v>2.3338288708101326E-2</v>
      </c>
      <c r="Q23" s="2">
        <f>+C23-15018.5</f>
        <v>42230.695599999999</v>
      </c>
    </row>
    <row r="24" spans="1:21" x14ac:dyDescent="0.2"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560" r:id="rId1" display="http://vsolj.cetus-net.org/bulletin.html" xr:uid="{00000000-0004-0000-0000-000000000000}"/>
    <hyperlink ref="H63553" r:id="rId2" display="https://www.aavso.org/ejaavso" xr:uid="{00000000-0004-0000-0000-000001000000}"/>
    <hyperlink ref="AP419" r:id="rId3" display="http://cdsbib.u-strasbg.fr/cgi-bin/cdsbib?1990RMxAA..21..381G" xr:uid="{00000000-0004-0000-0000-000002000000}"/>
    <hyperlink ref="AP416" r:id="rId4" display="http://cdsbib.u-strasbg.fr/cgi-bin/cdsbib?1990RMxAA..21..381G" xr:uid="{00000000-0004-0000-0000-000003000000}"/>
    <hyperlink ref="AP418" r:id="rId5" display="http://cdsbib.u-strasbg.fr/cgi-bin/cdsbib?1990RMxAA..21..381G" xr:uid="{00000000-0004-0000-0000-000004000000}"/>
    <hyperlink ref="AP394" r:id="rId6" display="http://cdsbib.u-strasbg.fr/cgi-bin/cdsbib?1990RMxAA..21..381G" xr:uid="{00000000-0004-0000-0000-000005000000}"/>
    <hyperlink ref="I63560" r:id="rId7" display="http://vsolj.cetus-net.org/bulletin.html" xr:uid="{00000000-0004-0000-0000-000006000000}"/>
    <hyperlink ref="AQ555" r:id="rId8" display="http://cdsbib.u-strasbg.fr/cgi-bin/cdsbib?1990RMxAA..21..381G" xr:uid="{00000000-0004-0000-0000-000007000000}"/>
    <hyperlink ref="AQ2199" r:id="rId9" display="http://cdsbib.u-strasbg.fr/cgi-bin/cdsbib?1990RMxAA..21..381G" xr:uid="{00000000-0004-0000-0000-000008000000}"/>
    <hyperlink ref="AQ556" r:id="rId10" display="http://cdsbib.u-strasbg.fr/cgi-bin/cdsbib?1990RMxAA..21..381G" xr:uid="{00000000-0004-0000-0000-000009000000}"/>
    <hyperlink ref="H63557" r:id="rId11" display="https://www.aavso.org/ejaavso" xr:uid="{00000000-0004-0000-0000-00000A000000}"/>
    <hyperlink ref="H1406" r:id="rId12" display="http://vsolj.cetus-net.org/bulletin.html" xr:uid="{00000000-0004-0000-0000-00000B000000}"/>
    <hyperlink ref="AP4644" r:id="rId13" display="http://cdsbib.u-strasbg.fr/cgi-bin/cdsbib?1990RMxAA..21..381G" xr:uid="{00000000-0004-0000-0000-00000C000000}"/>
    <hyperlink ref="AP4647" r:id="rId14" display="http://cdsbib.u-strasbg.fr/cgi-bin/cdsbib?1990RMxAA..21..381G" xr:uid="{00000000-0004-0000-0000-00000D000000}"/>
    <hyperlink ref="AP4645" r:id="rId15" display="http://cdsbib.u-strasbg.fr/cgi-bin/cdsbib?1990RMxAA..21..381G" xr:uid="{00000000-0004-0000-0000-00000E000000}"/>
    <hyperlink ref="AP4623" r:id="rId16" display="http://cdsbib.u-strasbg.fr/cgi-bin/cdsbib?1990RMxAA..21..381G" xr:uid="{00000000-0004-0000-0000-00000F000000}"/>
    <hyperlink ref="I1406" r:id="rId17" display="http://vsolj.cetus-net.org/bulletin.html" xr:uid="{00000000-0004-0000-0000-000010000000}"/>
    <hyperlink ref="AQ4757" r:id="rId18" display="http://cdsbib.u-strasbg.fr/cgi-bin/cdsbib?1990RMxAA..21..381G" xr:uid="{00000000-0004-0000-0000-000011000000}"/>
    <hyperlink ref="AQ64837" r:id="rId19" display="http://cdsbib.u-strasbg.fr/cgi-bin/cdsbib?1990RMxAA..21..381G" xr:uid="{00000000-0004-0000-0000-000012000000}"/>
    <hyperlink ref="AQ475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2024-07-29T06:10:32Z</dcterms:modified>
</cp:coreProperties>
</file>