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AA14FE-CE7D-4C7B-A9B2-6CC02435F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4" i="1" l="1"/>
  <c r="Q92" i="1"/>
  <c r="Q93" i="1"/>
  <c r="Q91" i="1"/>
  <c r="D9" i="1"/>
  <c r="C9" i="1"/>
  <c r="Q89" i="1"/>
  <c r="Q9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3" i="1"/>
  <c r="Q65" i="1"/>
  <c r="Q67" i="1"/>
  <c r="Q68" i="1"/>
  <c r="Q69" i="1"/>
  <c r="Q70" i="1"/>
  <c r="Q71" i="1"/>
  <c r="Q72" i="1"/>
  <c r="Q74" i="1"/>
  <c r="Q76" i="1"/>
  <c r="Q77" i="1"/>
  <c r="Q78" i="1"/>
  <c r="Q79" i="1"/>
  <c r="Q80" i="1"/>
  <c r="Q81" i="1"/>
  <c r="Q83" i="1"/>
  <c r="Q84" i="1"/>
  <c r="Q85" i="1"/>
  <c r="G20" i="2"/>
  <c r="C20" i="2"/>
  <c r="G19" i="2"/>
  <c r="C19" i="2"/>
  <c r="G18" i="2"/>
  <c r="C18" i="2"/>
  <c r="G77" i="2"/>
  <c r="C77" i="2"/>
  <c r="G76" i="2"/>
  <c r="C76" i="2"/>
  <c r="G75" i="2"/>
  <c r="C75" i="2"/>
  <c r="G17" i="2"/>
  <c r="C17" i="2"/>
  <c r="G74" i="2"/>
  <c r="C74" i="2"/>
  <c r="G73" i="2"/>
  <c r="C73" i="2"/>
  <c r="G72" i="2"/>
  <c r="C72" i="2"/>
  <c r="G71" i="2"/>
  <c r="C71" i="2"/>
  <c r="G70" i="2"/>
  <c r="C70" i="2"/>
  <c r="G69" i="2"/>
  <c r="C69" i="2"/>
  <c r="G16" i="2"/>
  <c r="C16" i="2"/>
  <c r="G68" i="2"/>
  <c r="C68" i="2"/>
  <c r="G15" i="2"/>
  <c r="C15" i="2"/>
  <c r="G67" i="2"/>
  <c r="C67" i="2"/>
  <c r="G66" i="2"/>
  <c r="C66" i="2"/>
  <c r="G65" i="2"/>
  <c r="C65" i="2"/>
  <c r="G64" i="2"/>
  <c r="C64" i="2"/>
  <c r="G63" i="2"/>
  <c r="C63" i="2"/>
  <c r="G62" i="2"/>
  <c r="C62" i="2"/>
  <c r="G14" i="2"/>
  <c r="C14" i="2"/>
  <c r="G61" i="2"/>
  <c r="C61" i="2"/>
  <c r="G13" i="2"/>
  <c r="C13" i="2"/>
  <c r="G60" i="2"/>
  <c r="C60" i="2"/>
  <c r="G12" i="2"/>
  <c r="C12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11" i="2"/>
  <c r="C11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D20" i="2"/>
  <c r="B20" i="2"/>
  <c r="A20" i="2"/>
  <c r="H19" i="2"/>
  <c r="B19" i="2"/>
  <c r="D19" i="2"/>
  <c r="A19" i="2"/>
  <c r="H18" i="2"/>
  <c r="D18" i="2"/>
  <c r="B18" i="2"/>
  <c r="A18" i="2"/>
  <c r="H77" i="2"/>
  <c r="B77" i="2"/>
  <c r="D77" i="2"/>
  <c r="A77" i="2"/>
  <c r="H76" i="2"/>
  <c r="D76" i="2"/>
  <c r="B76" i="2"/>
  <c r="A76" i="2"/>
  <c r="H75" i="2"/>
  <c r="B75" i="2"/>
  <c r="D75" i="2"/>
  <c r="A75" i="2"/>
  <c r="H17" i="2"/>
  <c r="D17" i="2"/>
  <c r="B17" i="2"/>
  <c r="A17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16" i="2"/>
  <c r="B16" i="2"/>
  <c r="D16" i="2"/>
  <c r="A16" i="2"/>
  <c r="H68" i="2"/>
  <c r="D68" i="2"/>
  <c r="B68" i="2"/>
  <c r="A68" i="2"/>
  <c r="H15" i="2"/>
  <c r="B15" i="2"/>
  <c r="D15" i="2"/>
  <c r="A15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14" i="2"/>
  <c r="D14" i="2"/>
  <c r="B14" i="2"/>
  <c r="A14" i="2"/>
  <c r="H61" i="2"/>
  <c r="B61" i="2"/>
  <c r="D61" i="2"/>
  <c r="A61" i="2"/>
  <c r="H13" i="2"/>
  <c r="D13" i="2"/>
  <c r="B13" i="2"/>
  <c r="A13" i="2"/>
  <c r="H60" i="2"/>
  <c r="B60" i="2"/>
  <c r="D60" i="2"/>
  <c r="A60" i="2"/>
  <c r="H12" i="2"/>
  <c r="D12" i="2"/>
  <c r="B12" i="2"/>
  <c r="A12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11" i="2"/>
  <c r="D11" i="2"/>
  <c r="B11" i="2"/>
  <c r="A11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F16" i="1"/>
  <c r="F17" i="1" s="1"/>
  <c r="C17" i="1"/>
  <c r="Q87" i="1"/>
  <c r="Q88" i="1"/>
  <c r="Q86" i="1"/>
  <c r="Q47" i="1"/>
  <c r="Q48" i="1"/>
  <c r="Q62" i="1"/>
  <c r="Q64" i="1"/>
  <c r="Q82" i="1"/>
  <c r="Q66" i="1"/>
  <c r="Q73" i="1"/>
  <c r="C7" i="1"/>
  <c r="E94" i="1" s="1"/>
  <c r="F94" i="1" s="1"/>
  <c r="C8" i="1"/>
  <c r="Q75" i="1"/>
  <c r="E65" i="1"/>
  <c r="F65" i="1" s="1"/>
  <c r="G65" i="1" s="1"/>
  <c r="I65" i="1" s="1"/>
  <c r="E67" i="1"/>
  <c r="F67" i="1" s="1"/>
  <c r="G67" i="1" s="1"/>
  <c r="I67" i="1" s="1"/>
  <c r="E69" i="1"/>
  <c r="F69" i="1" s="1"/>
  <c r="G69" i="1" s="1"/>
  <c r="I69" i="1" s="1"/>
  <c r="E73" i="1"/>
  <c r="F73" i="1" s="1"/>
  <c r="G73" i="1" s="1"/>
  <c r="J73" i="1" s="1"/>
  <c r="E75" i="1"/>
  <c r="F75" i="1" s="1"/>
  <c r="G75" i="1" s="1"/>
  <c r="E77" i="1"/>
  <c r="F77" i="1" s="1"/>
  <c r="G77" i="1" s="1"/>
  <c r="I77" i="1" s="1"/>
  <c r="E79" i="1"/>
  <c r="F79" i="1"/>
  <c r="G79" i="1" s="1"/>
  <c r="I79" i="1" s="1"/>
  <c r="E81" i="1"/>
  <c r="F81" i="1"/>
  <c r="G81" i="1"/>
  <c r="I81" i="1" s="1"/>
  <c r="E83" i="1"/>
  <c r="F83" i="1" s="1"/>
  <c r="G83" i="1" s="1"/>
  <c r="I83" i="1" s="1"/>
  <c r="E85" i="1"/>
  <c r="F85" i="1" s="1"/>
  <c r="G85" i="1" s="1"/>
  <c r="I85" i="1" s="1"/>
  <c r="E89" i="1"/>
  <c r="F89" i="1"/>
  <c r="G89" i="1" s="1"/>
  <c r="K89" i="1" s="1"/>
  <c r="E62" i="1"/>
  <c r="F62" i="1" s="1"/>
  <c r="G62" i="1" s="1"/>
  <c r="I62" i="1" s="1"/>
  <c r="E21" i="1"/>
  <c r="F21" i="1"/>
  <c r="G21" i="1" s="1"/>
  <c r="H21" i="1" s="1"/>
  <c r="E26" i="1"/>
  <c r="F26" i="1" s="1"/>
  <c r="G26" i="1" s="1"/>
  <c r="H26" i="1" s="1"/>
  <c r="E34" i="1"/>
  <c r="F34" i="1" s="1"/>
  <c r="G34" i="1" s="1"/>
  <c r="H34" i="1" s="1"/>
  <c r="E42" i="1"/>
  <c r="F42" i="1" s="1"/>
  <c r="G42" i="1" s="1"/>
  <c r="H42" i="1" s="1"/>
  <c r="E52" i="1"/>
  <c r="F52" i="1" s="1"/>
  <c r="G52" i="1" s="1"/>
  <c r="H52" i="1" s="1"/>
  <c r="E60" i="1"/>
  <c r="F60" i="1"/>
  <c r="G60" i="1"/>
  <c r="H60" i="1" s="1"/>
  <c r="E29" i="1"/>
  <c r="F29" i="1" s="1"/>
  <c r="G29" i="1" s="1"/>
  <c r="H29" i="1" s="1"/>
  <c r="E37" i="1"/>
  <c r="F37" i="1" s="1"/>
  <c r="G37" i="1" s="1"/>
  <c r="H37" i="1" s="1"/>
  <c r="E45" i="1"/>
  <c r="F45" i="1"/>
  <c r="G45" i="1" s="1"/>
  <c r="H45" i="1" s="1"/>
  <c r="E55" i="1"/>
  <c r="F55" i="1"/>
  <c r="G55" i="1" s="1"/>
  <c r="H55" i="1" s="1"/>
  <c r="E90" i="1"/>
  <c r="F90" i="1" s="1"/>
  <c r="G90" i="1" s="1"/>
  <c r="K90" i="1" s="1"/>
  <c r="E24" i="1"/>
  <c r="F24" i="1"/>
  <c r="G24" i="1" s="1"/>
  <c r="H24" i="1" s="1"/>
  <c r="E32" i="1"/>
  <c r="F32" i="1" s="1"/>
  <c r="G32" i="1" s="1"/>
  <c r="H32" i="1" s="1"/>
  <c r="E40" i="1"/>
  <c r="F40" i="1" s="1"/>
  <c r="G40" i="1" s="1"/>
  <c r="H40" i="1" s="1"/>
  <c r="E50" i="1"/>
  <c r="F50" i="1" s="1"/>
  <c r="G50" i="1" s="1"/>
  <c r="H50" i="1" s="1"/>
  <c r="E58" i="1"/>
  <c r="F58" i="1"/>
  <c r="G58" i="1" s="1"/>
  <c r="H58" i="1" s="1"/>
  <c r="E64" i="1"/>
  <c r="F64" i="1"/>
  <c r="G64" i="1" s="1"/>
  <c r="I64" i="1" s="1"/>
  <c r="E27" i="1"/>
  <c r="E27" i="2" s="1"/>
  <c r="E35" i="1"/>
  <c r="F35" i="1" s="1"/>
  <c r="G35" i="1" s="1"/>
  <c r="H35" i="1" s="1"/>
  <c r="E43" i="1"/>
  <c r="F43" i="1" s="1"/>
  <c r="G43" i="1" s="1"/>
  <c r="H43" i="1" s="1"/>
  <c r="E53" i="1"/>
  <c r="F53" i="1" s="1"/>
  <c r="G53" i="1" s="1"/>
  <c r="H53" i="1" s="1"/>
  <c r="E61" i="1"/>
  <c r="F61" i="1" s="1"/>
  <c r="G61" i="1" s="1"/>
  <c r="H61" i="1" s="1"/>
  <c r="E66" i="1"/>
  <c r="F66" i="1" s="1"/>
  <c r="G66" i="1" s="1"/>
  <c r="J66" i="1" s="1"/>
  <c r="E68" i="1"/>
  <c r="F68" i="1" s="1"/>
  <c r="G68" i="1" s="1"/>
  <c r="I68" i="1" s="1"/>
  <c r="E70" i="1"/>
  <c r="F70" i="1"/>
  <c r="G70" i="1" s="1"/>
  <c r="I70" i="1" s="1"/>
  <c r="E72" i="1"/>
  <c r="E74" i="1"/>
  <c r="F74" i="1"/>
  <c r="E76" i="1"/>
  <c r="F76" i="1" s="1"/>
  <c r="G76" i="1" s="1"/>
  <c r="I76" i="1" s="1"/>
  <c r="E78" i="1"/>
  <c r="F78" i="1" s="1"/>
  <c r="G78" i="1" s="1"/>
  <c r="I78" i="1" s="1"/>
  <c r="E80" i="1"/>
  <c r="F80" i="1"/>
  <c r="G80" i="1" s="1"/>
  <c r="I80" i="1" s="1"/>
  <c r="E82" i="1"/>
  <c r="F82" i="1" s="1"/>
  <c r="G82" i="1" s="1"/>
  <c r="I82" i="1" s="1"/>
  <c r="E84" i="1"/>
  <c r="F84" i="1"/>
  <c r="G84" i="1" s="1"/>
  <c r="I84" i="1" s="1"/>
  <c r="E86" i="1"/>
  <c r="F86" i="1"/>
  <c r="G86" i="1" s="1"/>
  <c r="K86" i="1" s="1"/>
  <c r="E87" i="1"/>
  <c r="F87" i="1" s="1"/>
  <c r="G87" i="1" s="1"/>
  <c r="K87" i="1" s="1"/>
  <c r="E22" i="1"/>
  <c r="F22" i="1"/>
  <c r="E30" i="1"/>
  <c r="F30" i="1"/>
  <c r="E38" i="1"/>
  <c r="F38" i="1"/>
  <c r="G38" i="1" s="1"/>
  <c r="H38" i="1" s="1"/>
  <c r="E46" i="1"/>
  <c r="E46" i="2" s="1"/>
  <c r="E56" i="1"/>
  <c r="E54" i="2" s="1"/>
  <c r="E48" i="1"/>
  <c r="F48" i="1" s="1"/>
  <c r="G48" i="1" s="1"/>
  <c r="I48" i="1" s="1"/>
  <c r="E25" i="1"/>
  <c r="F25" i="1" s="1"/>
  <c r="G25" i="1" s="1"/>
  <c r="H25" i="1" s="1"/>
  <c r="E33" i="1"/>
  <c r="E33" i="2" s="1"/>
  <c r="F33" i="1"/>
  <c r="G33" i="1" s="1"/>
  <c r="H33" i="1" s="1"/>
  <c r="E41" i="1"/>
  <c r="F41" i="1" s="1"/>
  <c r="G41" i="1" s="1"/>
  <c r="H41" i="1" s="1"/>
  <c r="E51" i="1"/>
  <c r="F51" i="1" s="1"/>
  <c r="G51" i="1" s="1"/>
  <c r="H51" i="1" s="1"/>
  <c r="E59" i="1"/>
  <c r="F59" i="1" s="1"/>
  <c r="G59" i="1" s="1"/>
  <c r="H59" i="1" s="1"/>
  <c r="G74" i="1"/>
  <c r="I74" i="1" s="1"/>
  <c r="E47" i="1"/>
  <c r="F47" i="1" s="1"/>
  <c r="G47" i="1" s="1"/>
  <c r="J47" i="1" s="1"/>
  <c r="G22" i="1"/>
  <c r="H22" i="1" s="1"/>
  <c r="E28" i="1"/>
  <c r="E28" i="2" s="1"/>
  <c r="G30" i="1"/>
  <c r="H30" i="1" s="1"/>
  <c r="E36" i="1"/>
  <c r="F36" i="1" s="1"/>
  <c r="G36" i="1" s="1"/>
  <c r="H36" i="1" s="1"/>
  <c r="E44" i="1"/>
  <c r="F44" i="1" s="1"/>
  <c r="G44" i="1" s="1"/>
  <c r="H44" i="1" s="1"/>
  <c r="E54" i="1"/>
  <c r="F54" i="1" s="1"/>
  <c r="G54" i="1" s="1"/>
  <c r="H54" i="1" s="1"/>
  <c r="E63" i="1"/>
  <c r="F63" i="1" s="1"/>
  <c r="G63" i="1" s="1"/>
  <c r="I63" i="1" s="1"/>
  <c r="E30" i="2"/>
  <c r="E35" i="2"/>
  <c r="E50" i="2"/>
  <c r="E76" i="2"/>
  <c r="E57" i="1"/>
  <c r="F57" i="1" s="1"/>
  <c r="G57" i="1" s="1"/>
  <c r="H57" i="1" s="1"/>
  <c r="E41" i="2"/>
  <c r="E51" i="2"/>
  <c r="E56" i="2"/>
  <c r="E68" i="2"/>
  <c r="E77" i="2"/>
  <c r="E31" i="1"/>
  <c r="F31" i="1" s="1"/>
  <c r="G31" i="1" s="1"/>
  <c r="H31" i="1" s="1"/>
  <c r="E42" i="2"/>
  <c r="E16" i="2"/>
  <c r="E22" i="2"/>
  <c r="E32" i="2"/>
  <c r="E37" i="2"/>
  <c r="E61" i="2"/>
  <c r="E65" i="2"/>
  <c r="E74" i="2"/>
  <c r="E18" i="2"/>
  <c r="E49" i="1"/>
  <c r="F49" i="1" s="1"/>
  <c r="G49" i="1" s="1"/>
  <c r="H49" i="1" s="1"/>
  <c r="E88" i="1"/>
  <c r="F88" i="1" s="1"/>
  <c r="G88" i="1" s="1"/>
  <c r="K88" i="1" s="1"/>
  <c r="E38" i="2"/>
  <c r="E53" i="2"/>
  <c r="E19" i="2"/>
  <c r="E23" i="1"/>
  <c r="F23" i="1" s="1"/>
  <c r="G23" i="1" s="1"/>
  <c r="H23" i="1" s="1"/>
  <c r="E44" i="2"/>
  <c r="E59" i="2"/>
  <c r="E70" i="2"/>
  <c r="E24" i="2"/>
  <c r="E34" i="2"/>
  <c r="E49" i="2"/>
  <c r="E62" i="2"/>
  <c r="E75" i="2"/>
  <c r="E39" i="1"/>
  <c r="F39" i="1" s="1"/>
  <c r="G39" i="1" s="1"/>
  <c r="H39" i="1" s="1"/>
  <c r="E55" i="2"/>
  <c r="E12" i="2"/>
  <c r="E15" i="2"/>
  <c r="E71" i="2"/>
  <c r="E45" i="2"/>
  <c r="E40" i="2"/>
  <c r="E60" i="2"/>
  <c r="E21" i="2"/>
  <c r="E17" i="2"/>
  <c r="E47" i="2"/>
  <c r="E26" i="2"/>
  <c r="E73" i="2"/>
  <c r="F56" i="1"/>
  <c r="G56" i="1" s="1"/>
  <c r="H56" i="1" s="1"/>
  <c r="E31" i="2"/>
  <c r="E14" i="2"/>
  <c r="E11" i="2"/>
  <c r="E58" i="2"/>
  <c r="F72" i="1"/>
  <c r="G72" i="1" s="1"/>
  <c r="I72" i="1" s="1"/>
  <c r="E67" i="2"/>
  <c r="E29" i="2"/>
  <c r="E20" i="2"/>
  <c r="E72" i="2"/>
  <c r="E13" i="2"/>
  <c r="H75" i="1" l="1"/>
  <c r="I75" i="1"/>
  <c r="E23" i="2"/>
  <c r="E48" i="2"/>
  <c r="E36" i="2"/>
  <c r="E93" i="1"/>
  <c r="F93" i="1" s="1"/>
  <c r="G93" i="1" s="1"/>
  <c r="K93" i="1" s="1"/>
  <c r="E25" i="2"/>
  <c r="E52" i="2"/>
  <c r="E92" i="1"/>
  <c r="F92" i="1" s="1"/>
  <c r="G92" i="1" s="1"/>
  <c r="K92" i="1" s="1"/>
  <c r="F46" i="1"/>
  <c r="G46" i="1" s="1"/>
  <c r="H46" i="1" s="1"/>
  <c r="G94" i="1"/>
  <c r="K94" i="1" s="1"/>
  <c r="E71" i="1"/>
  <c r="E91" i="1"/>
  <c r="F91" i="1" s="1"/>
  <c r="G91" i="1" s="1"/>
  <c r="E69" i="2"/>
  <c r="E39" i="2"/>
  <c r="E57" i="2"/>
  <c r="E64" i="2"/>
  <c r="E43" i="2"/>
  <c r="F28" i="1"/>
  <c r="G28" i="1" s="1"/>
  <c r="H28" i="1" s="1"/>
  <c r="F27" i="1"/>
  <c r="G27" i="1" s="1"/>
  <c r="H27" i="1" s="1"/>
  <c r="E63" i="2"/>
  <c r="C11" i="1"/>
  <c r="C12" i="1"/>
  <c r="O52" i="1" l="1"/>
  <c r="O86" i="1"/>
  <c r="O79" i="1"/>
  <c r="O82" i="1"/>
  <c r="O55" i="1"/>
  <c r="O53" i="1"/>
  <c r="O91" i="1"/>
  <c r="O58" i="1"/>
  <c r="O88" i="1"/>
  <c r="O84" i="1"/>
  <c r="O65" i="1"/>
  <c r="O60" i="1"/>
  <c r="O61" i="1"/>
  <c r="O56" i="1"/>
  <c r="O59" i="1"/>
  <c r="O66" i="1"/>
  <c r="O87" i="1"/>
  <c r="O54" i="1"/>
  <c r="O64" i="1"/>
  <c r="O90" i="1"/>
  <c r="O89" i="1"/>
  <c r="O70" i="1"/>
  <c r="O67" i="1"/>
  <c r="O57" i="1"/>
  <c r="O75" i="1"/>
  <c r="O63" i="1"/>
  <c r="O94" i="1"/>
  <c r="O72" i="1"/>
  <c r="O73" i="1"/>
  <c r="O62" i="1"/>
  <c r="O69" i="1"/>
  <c r="O78" i="1"/>
  <c r="O92" i="1"/>
  <c r="O83" i="1"/>
  <c r="O68" i="1"/>
  <c r="O81" i="1"/>
  <c r="O80" i="1"/>
  <c r="O85" i="1"/>
  <c r="O76" i="1"/>
  <c r="O77" i="1"/>
  <c r="O93" i="1"/>
  <c r="O74" i="1"/>
  <c r="C16" i="1"/>
  <c r="D18" i="1" s="1"/>
  <c r="K91" i="1"/>
  <c r="F71" i="1"/>
  <c r="G71" i="1" s="1"/>
  <c r="I71" i="1" s="1"/>
  <c r="E66" i="2"/>
  <c r="C15" i="1" l="1"/>
  <c r="O71" i="1"/>
  <c r="F18" i="1" l="1"/>
  <c r="F19" i="1" s="1"/>
  <c r="C18" i="1"/>
</calcChain>
</file>

<file path=xl/sharedStrings.xml><?xml version="1.0" encoding="utf-8"?>
<sst xmlns="http://schemas.openxmlformats.org/spreadsheetml/2006/main" count="673" uniqueCount="303">
  <si>
    <t>JAVSO..45..121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</si>
  <si>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</si>
  <si>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</si>
  <si>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</si>
  <si>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</si>
  <si>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</si>
  <si>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</si>
  <si>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</si>
  <si>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</si>
  <si>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</si>
  <si>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</si>
  <si>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</si>
  <si>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</si>
  <si>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</si>
  <si>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</si>
  <si>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</si>
  <si>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</si>
  <si>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</si>
  <si>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</si>
  <si>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</si>
  <si>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</si>
  <si>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</si>
  <si>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</si>
  <si>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</si>
  <si>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</si>
  <si>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</si>
  <si>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</si>
  <si>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</si>
  <si>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</si>
  <si>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A2e + G5</t>
  </si>
  <si>
    <t>EA/sd</t>
  </si>
  <si>
    <t>Wood 1963</t>
  </si>
  <si>
    <t>Whitney 1957</t>
  </si>
  <si>
    <t>Whitney 1959</t>
  </si>
  <si>
    <t>BBSAG</t>
  </si>
  <si>
    <t>IBVS 0501</t>
  </si>
  <si>
    <t>pg</t>
  </si>
  <si>
    <t>vis</t>
  </si>
  <si>
    <t># of data points:</t>
  </si>
  <si>
    <t>AQ Peg / GSC 01132-01112</t>
  </si>
  <si>
    <t>IBVS 5917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</si>
  <si>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</si>
  <si>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</si>
  <si>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</si>
  <si>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</si>
  <si>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</si>
  <si>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</si>
  <si>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</si>
  <si>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JAVSO..36..171</t>
  </si>
  <si>
    <t>JAVSO..39...94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</si>
  <si>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</si>
  <si>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</si>
  <si>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</si>
  <si>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</si>
  <si>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</si>
  <si>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</si>
  <si>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</si>
  <si>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</si>
  <si>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</si>
  <si>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</si>
  <si>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</si>
  <si>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</si>
  <si>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</si>
  <si>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2422280.20 </t>
  </si>
  <si>
    <t> 17.11.1919 16:48 </t>
  </si>
  <si>
    <t> 0.08 </t>
  </si>
  <si>
    <t>P </t>
  </si>
  <si>
    <t> I.Belanowsky </t>
  </si>
  <si>
    <t> AN 231.115 </t>
  </si>
  <si>
    <t>2423706.22 </t>
  </si>
  <si>
    <t> 13.10.1923 17:16 </t>
  </si>
  <si>
    <t> 0.14 </t>
  </si>
  <si>
    <t>2424011.52 </t>
  </si>
  <si>
    <t> 14.08.1924 00:28 </t>
  </si>
  <si>
    <t> 0.27 </t>
  </si>
  <si>
    <t>2424388.52 </t>
  </si>
  <si>
    <t> 26.08.1925 00:28 </t>
  </si>
  <si>
    <t> -0.03 </t>
  </si>
  <si>
    <t>2424416.28 </t>
  </si>
  <si>
    <t> 22.09.1925 18:43 </t>
  </si>
  <si>
    <t> -0.01 </t>
  </si>
  <si>
    <t> J.Haas </t>
  </si>
  <si>
    <t>2424466.33 </t>
  </si>
  <si>
    <t> 11.11.1925 19:55 </t>
  </si>
  <si>
    <t> 0.10 </t>
  </si>
  <si>
    <t>2424738.236 </t>
  </si>
  <si>
    <t> 10.08.1926 17:39 </t>
  </si>
  <si>
    <t> 0.133 </t>
  </si>
  <si>
    <t>V </t>
  </si>
  <si>
    <t> W.Zessewitsch </t>
  </si>
  <si>
    <t>2424760.432 </t>
  </si>
  <si>
    <t> 01.09.1926 22:22 </t>
  </si>
  <si>
    <t> 0.135 </t>
  </si>
  <si>
    <t>2424777.078 </t>
  </si>
  <si>
    <t> 18.09.1926 13:52 </t>
  </si>
  <si>
    <t>2425093.332 </t>
  </si>
  <si>
    <t> 31.07.1927 19:58 </t>
  </si>
  <si>
    <t> 0.125 </t>
  </si>
  <si>
    <t> IODE 4.2.264 </t>
  </si>
  <si>
    <t>2426569.191 </t>
  </si>
  <si>
    <t> 15.08.1931 16:35 </t>
  </si>
  <si>
    <t> 0.082 </t>
  </si>
  <si>
    <t>2426957.465 </t>
  </si>
  <si>
    <t> 06.09.1932 23:09 </t>
  </si>
  <si>
    <t> -0.039 </t>
  </si>
  <si>
    <t> H.U.Sandig </t>
  </si>
  <si>
    <t> AN 278.181 </t>
  </si>
  <si>
    <t>2427024.23 </t>
  </si>
  <si>
    <t> 12.11.1932 17:31 </t>
  </si>
  <si>
    <t>2427340.430 </t>
  </si>
  <si>
    <t> 24.09.1933 22:19 </t>
  </si>
  <si>
    <t> 0.079 </t>
  </si>
  <si>
    <t> S.Piotrowski </t>
  </si>
  <si>
    <t> AA 27.158 </t>
  </si>
  <si>
    <t>2428078.299 </t>
  </si>
  <si>
    <t> 02.10.1935 19:10 </t>
  </si>
  <si>
    <t>2428083.900 </t>
  </si>
  <si>
    <t> 08.10.1935 09:36 </t>
  </si>
  <si>
    <t> 0.050 </t>
  </si>
  <si>
    <t> S.Gaposchkin </t>
  </si>
  <si>
    <t> HA 113.75 </t>
  </si>
  <si>
    <t>2428422.459 </t>
  </si>
  <si>
    <t> 10.09.1936 23:00 </t>
  </si>
  <si>
    <t> 0.150 </t>
  </si>
  <si>
    <t>2429110.482 </t>
  </si>
  <si>
    <t> 30.07.1938 23:34 </t>
  </si>
  <si>
    <t> 0.159 </t>
  </si>
  <si>
    <t>2429465.462 </t>
  </si>
  <si>
    <t> 20.07.1939 23:05 </t>
  </si>
  <si>
    <t> 0.035 </t>
  </si>
  <si>
    <t>2431296.456 </t>
  </si>
  <si>
    <t> 24.07.1944 22:56 </t>
  </si>
  <si>
    <t> 0.023 </t>
  </si>
  <si>
    <t>2431712.598 </t>
  </si>
  <si>
    <t> 14.09.1945 02:21 </t>
  </si>
  <si>
    <t> 0.027 </t>
  </si>
  <si>
    <t> B.S.Whitney </t>
  </si>
  <si>
    <t> AJ 53.13 </t>
  </si>
  <si>
    <t>2431762.540 </t>
  </si>
  <si>
    <t> 03.11.1945 00:57 </t>
  </si>
  <si>
    <t> 0.032 </t>
  </si>
  <si>
    <t> AJ 62.373 </t>
  </si>
  <si>
    <t>2431967.828 </t>
  </si>
  <si>
    <t> 27.05.1946 07:52 </t>
  </si>
  <si>
    <t> 0.026 </t>
  </si>
  <si>
    <t>2432078.798 </t>
  </si>
  <si>
    <t> 15.09.1946 07:09 </t>
  </si>
  <si>
    <t>2432794.532 </t>
  </si>
  <si>
    <t> 31.08.1948 00:46 </t>
  </si>
  <si>
    <t> 0.003 </t>
  </si>
  <si>
    <t> R.Szafraniec </t>
  </si>
  <si>
    <t> AAC 4.113 </t>
  </si>
  <si>
    <t>2433121.903 </t>
  </si>
  <si>
    <t> 24.07.1949 09:40 </t>
  </si>
  <si>
    <t> 0.012 </t>
  </si>
  <si>
    <t>2433565.771 </t>
  </si>
  <si>
    <t> 11.10.1950 06:30 </t>
  </si>
  <si>
    <t> 0.000 </t>
  </si>
  <si>
    <t>2433909.779 </t>
  </si>
  <si>
    <t> 20.09.1951 06:41 </t>
  </si>
  <si>
    <t> 0.001 </t>
  </si>
  <si>
    <t>2434220.503 </t>
  </si>
  <si>
    <t> 27.07.1952 00:04 </t>
  </si>
  <si>
    <t> 0.009 </t>
  </si>
  <si>
    <t> AAC 5.53 </t>
  </si>
  <si>
    <t>2434275.980 </t>
  </si>
  <si>
    <t> 20.09.1952 11:31 </t>
  </si>
  <si>
    <t>2434603.361 </t>
  </si>
  <si>
    <t> 13.08.1953 20:39 </t>
  </si>
  <si>
    <t> 0.020 </t>
  </si>
  <si>
    <t> AAC 5.191 </t>
  </si>
  <si>
    <t>2434647.727 </t>
  </si>
  <si>
    <t> 27.09.1953 05:26 </t>
  </si>
  <si>
    <t> -0.002 </t>
  </si>
  <si>
    <t>2435008.386 </t>
  </si>
  <si>
    <t> 22.09.1954 21:15 </t>
  </si>
  <si>
    <t> 0.004 </t>
  </si>
  <si>
    <t> AAC 5.194 </t>
  </si>
  <si>
    <t>2435019.478 </t>
  </si>
  <si>
    <t> 03.10.1954 23:28 </t>
  </si>
  <si>
    <t> -0.001 </t>
  </si>
  <si>
    <t>2435341.295 </t>
  </si>
  <si>
    <t> 21.08.1955 19:04 </t>
  </si>
  <si>
    <t> AA 6.143 </t>
  </si>
  <si>
    <t>2435424.526 </t>
  </si>
  <si>
    <t> 13.11.1955 00:37 </t>
  </si>
  <si>
    <t> 0.007 </t>
  </si>
  <si>
    <t>2435679.750 </t>
  </si>
  <si>
    <t> 25.07.1956 06:00 </t>
  </si>
  <si>
    <t>2435729.698 </t>
  </si>
  <si>
    <t> 13.09.1956 04:45 </t>
  </si>
  <si>
    <t> 0.011 </t>
  </si>
  <si>
    <t>2435740.788 </t>
  </si>
  <si>
    <t> 24.09.1956 06:54 </t>
  </si>
  <si>
    <t>2435746.339 </t>
  </si>
  <si>
    <t> 29.09.1956 20:08 </t>
  </si>
  <si>
    <t> 0.006 </t>
  </si>
  <si>
    <t> AA 7.190 </t>
  </si>
  <si>
    <t>2436073.701 </t>
  </si>
  <si>
    <t> 23.08.1957 04:49 </t>
  </si>
  <si>
    <t> AJ 64.262 </t>
  </si>
  <si>
    <t>2436112.461 </t>
  </si>
  <si>
    <t> 30.09.1957 23:03 </t>
  </si>
  <si>
    <t> -0.073 </t>
  </si>
  <si>
    <t> H.Huth </t>
  </si>
  <si>
    <t> MVS 3.170 </t>
  </si>
  <si>
    <t>2436112.540 </t>
  </si>
  <si>
    <t> 01.10.1957 00:57 </t>
  </si>
  <si>
    <t>2436839.411 </t>
  </si>
  <si>
    <t> 27.09.1959 21:51 </t>
  </si>
  <si>
    <t>2437882.491 </t>
  </si>
  <si>
    <t> 05.08.1962 23:47 </t>
  </si>
  <si>
    <t> -0.015 </t>
  </si>
  <si>
    <t> L.P.Surkova </t>
  </si>
  <si>
    <t>IBVS 501 </t>
  </si>
  <si>
    <t>2438315.385 </t>
  </si>
  <si>
    <t> 12.10.1963 21:14 </t>
  </si>
  <si>
    <t> 0.096 </t>
  </si>
  <si>
    <t>2438670.369 </t>
  </si>
  <si>
    <t> 01.10.1964 20:51 </t>
  </si>
  <si>
    <t> -0.025 </t>
  </si>
  <si>
    <t> AA 16.158 </t>
  </si>
  <si>
    <t>2438670.409 </t>
  </si>
  <si>
    <t> 01.10.1964 21:48 </t>
  </si>
  <si>
    <t> 0.015 </t>
  </si>
  <si>
    <t>2438709.326 </t>
  </si>
  <si>
    <t> 09.11.1964 19:49 </t>
  </si>
  <si>
    <t> 0.093 </t>
  </si>
  <si>
    <t>2439025.395 </t>
  </si>
  <si>
    <t> 21.09.1965 21:28 </t>
  </si>
  <si>
    <t> -0.103 </t>
  </si>
  <si>
    <t>2439053.364 </t>
  </si>
  <si>
    <t> 19.10.1965 20:44 </t>
  </si>
  <si>
    <t> 0.124 </t>
  </si>
  <si>
    <t>2440096.335 </t>
  </si>
  <si>
    <t> 27.08.1968 20:02 </t>
  </si>
  <si>
    <t> -0.024 </t>
  </si>
  <si>
    <t>2440562.431 </t>
  </si>
  <si>
    <t> 06.12.1969 22:20 </t>
  </si>
  <si>
    <t> M.Baldwin </t>
  </si>
  <si>
    <t> AVSJ 3.65 </t>
  </si>
  <si>
    <t>2441222.7048 </t>
  </si>
  <si>
    <t> 28.09.1971 04:54 </t>
  </si>
  <si>
    <t> 0.0000 </t>
  </si>
  <si>
    <t>E </t>
  </si>
  <si>
    <t>?</t>
  </si>
  <si>
    <t> M.Ammann et al. </t>
  </si>
  <si>
    <t> AA 29.261 </t>
  </si>
  <si>
    <t>2442632.046 </t>
  </si>
  <si>
    <t> 07.08.1975 13:06 </t>
  </si>
  <si>
    <t> 0.021 </t>
  </si>
  <si>
    <t> AVSJ 7.38 </t>
  </si>
  <si>
    <t>2445994.564 </t>
  </si>
  <si>
    <t> 21.10.1984 01:32 </t>
  </si>
  <si>
    <t> 0.147 </t>
  </si>
  <si>
    <t> P.Atwood </t>
  </si>
  <si>
    <t> AOEB 12 </t>
  </si>
  <si>
    <t>2446316.393 </t>
  </si>
  <si>
    <t> 07.09.1985 21:25 </t>
  </si>
  <si>
    <t> 0.163 </t>
  </si>
  <si>
    <t>2446649.317 </t>
  </si>
  <si>
    <t> 06.08.1986 19:36 </t>
  </si>
  <si>
    <t> 0.176 </t>
  </si>
  <si>
    <t>2447442.767 </t>
  </si>
  <si>
    <t> 08.10.1988 06:24 </t>
  </si>
  <si>
    <t> 0.191 </t>
  </si>
  <si>
    <t>2447725.775 </t>
  </si>
  <si>
    <t> 18.07.1989 06:36 </t>
  </si>
  <si>
    <t> 0.225 </t>
  </si>
  <si>
    <t>2449229.471 </t>
  </si>
  <si>
    <t> 29.08.1993 23:18 </t>
  </si>
  <si>
    <t> 0.277 </t>
  </si>
  <si>
    <t> K.Locher </t>
  </si>
  <si>
    <t> BBS 105 </t>
  </si>
  <si>
    <t>2449989.665 </t>
  </si>
  <si>
    <t> 29.09.1995 03:57 </t>
  </si>
  <si>
    <t> 0.326 </t>
  </si>
  <si>
    <t>2451426.769 </t>
  </si>
  <si>
    <t> 05.09.1999 06:27 </t>
  </si>
  <si>
    <t> 0.368 </t>
  </si>
  <si>
    <t>2453635.1570 </t>
  </si>
  <si>
    <t> 21.09.2005 15:46 </t>
  </si>
  <si>
    <t> 0.4514 </t>
  </si>
  <si>
    <t>C </t>
  </si>
  <si>
    <t>ns</t>
  </si>
  <si>
    <t> G.Samolyk </t>
  </si>
  <si>
    <t>2454001.365 </t>
  </si>
  <si>
    <t> 22.09.2006 20:45 </t>
  </si>
  <si>
    <t> 0.458 </t>
  </si>
  <si>
    <t> G.Marino et al. </t>
  </si>
  <si>
    <t>IBVS 5917 </t>
  </si>
  <si>
    <t>2454339.8352 </t>
  </si>
  <si>
    <t> 27.08.2007 08:02 </t>
  </si>
  <si>
    <t> 0.4698 </t>
  </si>
  <si>
    <t> C.Hesseltine </t>
  </si>
  <si>
    <t>JAAVSO 36(2);171 </t>
  </si>
  <si>
    <t>2455438.4813 </t>
  </si>
  <si>
    <t> 29.08.2010 23:33 </t>
  </si>
  <si>
    <t> 0.5123 </t>
  </si>
  <si>
    <t> JAAVSO 39;94 </t>
  </si>
  <si>
    <t>JAVSO..46..184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</si>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</sst>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3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165" fontId="40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Peg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206791611021755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8.3759199998894474E-2</c:v>
                </c:pt>
                <c:pt idx="1">
                  <c:v>0.13853960000051302</c:v>
                </c:pt>
                <c:pt idx="2">
                  <c:v>0.27088559999901918</c:v>
                </c:pt>
                <c:pt idx="3">
                  <c:v>-2.7304800001729745E-2</c:v>
                </c:pt>
                <c:pt idx="4">
                  <c:v>-9.8188000010850374E-3</c:v>
                </c:pt>
                <c:pt idx="5">
                  <c:v>0.10365599999931874</c:v>
                </c:pt>
                <c:pt idx="6">
                  <c:v>0.13301879999926314</c:v>
                </c:pt>
                <c:pt idx="7">
                  <c:v>0.13500760000169976</c:v>
                </c:pt>
                <c:pt idx="8">
                  <c:v>0.13549920000150451</c:v>
                </c:pt>
                <c:pt idx="9">
                  <c:v>0.12483959999735816</c:v>
                </c:pt>
                <c:pt idx="10">
                  <c:v>8.2094799996411894E-2</c:v>
                </c:pt>
                <c:pt idx="11">
                  <c:v>-3.910120000000461E-2</c:v>
                </c:pt>
                <c:pt idx="12">
                  <c:v>0.14386519999970915</c:v>
                </c:pt>
                <c:pt idx="13">
                  <c:v>7.9205599999113474E-2</c:v>
                </c:pt>
                <c:pt idx="14">
                  <c:v>-2.6667999991332181E-3</c:v>
                </c:pt>
                <c:pt idx="15">
                  <c:v>4.9830399999336805E-2</c:v>
                </c:pt>
                <c:pt idx="16">
                  <c:v>0.15015959999800543</c:v>
                </c:pt>
                <c:pt idx="17">
                  <c:v>0.15881240000089747</c:v>
                </c:pt>
                <c:pt idx="18">
                  <c:v>3.4633199997188058E-2</c:v>
                </c:pt>
                <c:pt idx="19">
                  <c:v>2.2709199998644181E-2</c:v>
                </c:pt>
                <c:pt idx="20">
                  <c:v>2.6999199999409029E-2</c:v>
                </c:pt>
                <c:pt idx="21">
                  <c:v>3.2473999999638181E-2</c:v>
                </c:pt>
                <c:pt idx="22">
                  <c:v>2.5870400000712834E-2</c:v>
                </c:pt>
                <c:pt idx="23">
                  <c:v>2.5814399999944726E-2</c:v>
                </c:pt>
                <c:pt idx="24">
                  <c:v>2.953199997136835E-3</c:v>
                </c:pt>
                <c:pt idx="25">
                  <c:v>1.2287999998079613E-2</c:v>
                </c:pt>
                <c:pt idx="28">
                  <c:v>8.9040000602835789E-4</c:v>
                </c:pt>
                <c:pt idx="29">
                  <c:v>8.7335999996867031E-3</c:v>
                </c:pt>
                <c:pt idx="30">
                  <c:v>7.0560000312980264E-4</c:v>
                </c:pt>
                <c:pt idx="31">
                  <c:v>2.0040399998833891E-2</c:v>
                </c:pt>
                <c:pt idx="32">
                  <c:v>-1.9820000015897676E-3</c:v>
                </c:pt>
                <c:pt idx="33">
                  <c:v>4.3359999981475994E-3</c:v>
                </c:pt>
                <c:pt idx="34">
                  <c:v>-6.6959999821847305E-4</c:v>
                </c:pt>
                <c:pt idx="35">
                  <c:v>3.1679999956395477E-3</c:v>
                </c:pt>
                <c:pt idx="36">
                  <c:v>6.6260000021429732E-3</c:v>
                </c:pt>
                <c:pt idx="37">
                  <c:v>-5.028000014135614E-4</c:v>
                </c:pt>
                <c:pt idx="38">
                  <c:v>1.0971999996399973E-2</c:v>
                </c:pt>
                <c:pt idx="39">
                  <c:v>3.9663999996264465E-3</c:v>
                </c:pt>
                <c:pt idx="40">
                  <c:v>6.4636000024620444E-3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E-40B0-BEC7-85CC405B4F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7">
                  <c:v>6.3999999838415533E-5</c:v>
                </c:pt>
                <c:pt idx="41">
                  <c:v>6.7983999979333021E-3</c:v>
                </c:pt>
                <c:pt idx="42">
                  <c:v>-7.2721199998341035E-2</c:v>
                </c:pt>
                <c:pt idx="43">
                  <c:v>6.2787999995634891E-3</c:v>
                </c:pt>
                <c:pt idx="44">
                  <c:v>2.3412000002281275E-2</c:v>
                </c:pt>
                <c:pt idx="46">
                  <c:v>9.5667200002935715E-2</c:v>
                </c:pt>
                <c:pt idx="47">
                  <c:v>-2.4512000003596768E-2</c:v>
                </c:pt>
                <c:pt idx="48">
                  <c:v>1.5487999997276347E-2</c:v>
                </c:pt>
                <c:pt idx="49">
                  <c:v>9.296840000024531E-2</c:v>
                </c:pt>
                <c:pt idx="50">
                  <c:v>-0.10269120000157272</c:v>
                </c:pt>
                <c:pt idx="51">
                  <c:v>0.1237948000052711</c:v>
                </c:pt>
                <c:pt idx="53">
                  <c:v>-1.9668000022647902E-3</c:v>
                </c:pt>
                <c:pt idx="54">
                  <c:v>0</c:v>
                </c:pt>
                <c:pt idx="55">
                  <c:v>2.1488800004590303E-2</c:v>
                </c:pt>
                <c:pt idx="56">
                  <c:v>0.14679199999955017</c:v>
                </c:pt>
                <c:pt idx="57">
                  <c:v>0.16262959999585291</c:v>
                </c:pt>
                <c:pt idx="58">
                  <c:v>0.1764616000073147</c:v>
                </c:pt>
                <c:pt idx="59">
                  <c:v>0.19056120000459487</c:v>
                </c:pt>
                <c:pt idx="60">
                  <c:v>0.2249184000029345</c:v>
                </c:pt>
                <c:pt idx="61">
                  <c:v>0.27665960000013001</c:v>
                </c:pt>
                <c:pt idx="62">
                  <c:v>0.32577600000513485</c:v>
                </c:pt>
                <c:pt idx="63">
                  <c:v>0.36755080000148155</c:v>
                </c:pt>
                <c:pt idx="64">
                  <c:v>0.4514363999987836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BE-40B0-BEC7-85CC405B4F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6">
                  <c:v>7.2868000061134808E-3</c:v>
                </c:pt>
                <c:pt idx="45">
                  <c:v>-1.5114399997401051E-2</c:v>
                </c:pt>
                <c:pt idx="52">
                  <c:v>-2.3731599998427555E-2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BE-40B0-BEC7-85CC405B4F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65">
                  <c:v>0.45825160000094911</c:v>
                </c:pt>
                <c:pt idx="66">
                  <c:v>0.46978080000553746</c:v>
                </c:pt>
                <c:pt idx="67">
                  <c:v>0.51232639999943785</c:v>
                </c:pt>
                <c:pt idx="68">
                  <c:v>0.55991840000206139</c:v>
                </c:pt>
                <c:pt idx="69">
                  <c:v>0.57331760000670329</c:v>
                </c:pt>
                <c:pt idx="70">
                  <c:v>0.57965640000475105</c:v>
                </c:pt>
                <c:pt idx="71">
                  <c:v>0.57847279999987222</c:v>
                </c:pt>
                <c:pt idx="72">
                  <c:v>0.578758800002106</c:v>
                </c:pt>
                <c:pt idx="73">
                  <c:v>0.57427400000597117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BE-40B0-BEC7-85CC405B4F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BE-40B0-BEC7-85CC405B4F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BE-40B0-BEC7-85CC405B4F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BE-40B0-BEC7-85CC405B4F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31">
                  <c:v>1.785163736634196E-2</c:v>
                </c:pt>
                <c:pt idx="32">
                  <c:v>1.88803181424608E-2</c:v>
                </c:pt>
                <c:pt idx="33">
                  <c:v>2.7238349448426208E-2</c:v>
                </c:pt>
                <c:pt idx="34">
                  <c:v>2.7495519642455918E-2</c:v>
                </c:pt>
                <c:pt idx="35">
                  <c:v>3.4953455269317368E-2</c:v>
                </c:pt>
                <c:pt idx="36">
                  <c:v>3.6882231724540165E-2</c:v>
                </c:pt>
                <c:pt idx="37">
                  <c:v>4.2797146187223384E-2</c:v>
                </c:pt>
                <c:pt idx="38">
                  <c:v>4.3954412060357051E-2</c:v>
                </c:pt>
                <c:pt idx="39">
                  <c:v>4.4211582254386761E-2</c:v>
                </c:pt>
                <c:pt idx="40">
                  <c:v>4.4340167351401616E-2</c:v>
                </c:pt>
                <c:pt idx="41">
                  <c:v>5.1926688075277921E-2</c:v>
                </c:pt>
                <c:pt idx="42">
                  <c:v>5.2826783754381879E-2</c:v>
                </c:pt>
                <c:pt idx="43">
                  <c:v>5.2826783754381879E-2</c:v>
                </c:pt>
                <c:pt idx="44">
                  <c:v>6.9671431463327577E-2</c:v>
                </c:pt>
                <c:pt idx="45">
                  <c:v>9.384542970211987E-2</c:v>
                </c:pt>
                <c:pt idx="46">
                  <c:v>0.10387506726927838</c:v>
                </c:pt>
                <c:pt idx="47">
                  <c:v>0.11210451347822895</c:v>
                </c:pt>
                <c:pt idx="48">
                  <c:v>0.11210451347822895</c:v>
                </c:pt>
                <c:pt idx="49">
                  <c:v>0.11300460915733292</c:v>
                </c:pt>
                <c:pt idx="50">
                  <c:v>0.12033395968717953</c:v>
                </c:pt>
                <c:pt idx="51">
                  <c:v>0.12097688517225377</c:v>
                </c:pt>
                <c:pt idx="52">
                  <c:v>0.14515088341104607</c:v>
                </c:pt>
                <c:pt idx="53">
                  <c:v>0.15595203156029369</c:v>
                </c:pt>
                <c:pt idx="54">
                  <c:v>0.17125365810506116</c:v>
                </c:pt>
                <c:pt idx="55">
                  <c:v>0.20391427274683371</c:v>
                </c:pt>
                <c:pt idx="56">
                  <c:v>0.28183684153783439</c:v>
                </c:pt>
                <c:pt idx="57">
                  <c:v>0.28929477716469587</c:v>
                </c:pt>
                <c:pt idx="58">
                  <c:v>0.29700988298558706</c:v>
                </c:pt>
                <c:pt idx="59">
                  <c:v>0.31539755185871099</c:v>
                </c:pt>
                <c:pt idx="60">
                  <c:v>0.32195539180646843</c:v>
                </c:pt>
                <c:pt idx="61">
                  <c:v>0.35680195309749352</c:v>
                </c:pt>
                <c:pt idx="62">
                  <c:v>0.37441811138852832</c:v>
                </c:pt>
                <c:pt idx="63">
                  <c:v>0.40772165151537515</c:v>
                </c:pt>
                <c:pt idx="64">
                  <c:v>0.45889852012728649</c:v>
                </c:pt>
                <c:pt idx="65">
                  <c:v>0.46738513653026675</c:v>
                </c:pt>
                <c:pt idx="66">
                  <c:v>0.4752288274481728</c:v>
                </c:pt>
                <c:pt idx="67">
                  <c:v>0.50068867665711358</c:v>
                </c:pt>
                <c:pt idx="68">
                  <c:v>0.5469793115824606</c:v>
                </c:pt>
                <c:pt idx="69">
                  <c:v>0.55160837507499516</c:v>
                </c:pt>
                <c:pt idx="70">
                  <c:v>0.56819585258991123</c:v>
                </c:pt>
                <c:pt idx="71">
                  <c:v>0.58581201088094603</c:v>
                </c:pt>
                <c:pt idx="72">
                  <c:v>0.58645493636602031</c:v>
                </c:pt>
                <c:pt idx="73">
                  <c:v>0.59494155276900051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BE-40B0-BEC7-85CC405B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3760"/>
        <c:axId val="1"/>
      </c:scatterChart>
      <c:valAx>
        <c:axId val="75010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73298764483702"/>
          <c:w val="0.6558971162530370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Peg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206791611021755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8.3759199998894474E-2</c:v>
                </c:pt>
                <c:pt idx="1">
                  <c:v>0.13853960000051302</c:v>
                </c:pt>
                <c:pt idx="2">
                  <c:v>0.27088559999901918</c:v>
                </c:pt>
                <c:pt idx="3">
                  <c:v>-2.7304800001729745E-2</c:v>
                </c:pt>
                <c:pt idx="4">
                  <c:v>-9.8188000010850374E-3</c:v>
                </c:pt>
                <c:pt idx="5">
                  <c:v>0.10365599999931874</c:v>
                </c:pt>
                <c:pt idx="6">
                  <c:v>0.13301879999926314</c:v>
                </c:pt>
                <c:pt idx="7">
                  <c:v>0.13500760000169976</c:v>
                </c:pt>
                <c:pt idx="8">
                  <c:v>0.13549920000150451</c:v>
                </c:pt>
                <c:pt idx="9">
                  <c:v>0.12483959999735816</c:v>
                </c:pt>
                <c:pt idx="10">
                  <c:v>8.2094799996411894E-2</c:v>
                </c:pt>
                <c:pt idx="11">
                  <c:v>-3.910120000000461E-2</c:v>
                </c:pt>
                <c:pt idx="12">
                  <c:v>0.14386519999970915</c:v>
                </c:pt>
                <c:pt idx="13">
                  <c:v>7.9205599999113474E-2</c:v>
                </c:pt>
                <c:pt idx="14">
                  <c:v>-2.6667999991332181E-3</c:v>
                </c:pt>
                <c:pt idx="15">
                  <c:v>4.9830399999336805E-2</c:v>
                </c:pt>
                <c:pt idx="16">
                  <c:v>0.15015959999800543</c:v>
                </c:pt>
                <c:pt idx="17">
                  <c:v>0.15881240000089747</c:v>
                </c:pt>
                <c:pt idx="18">
                  <c:v>3.4633199997188058E-2</c:v>
                </c:pt>
                <c:pt idx="19">
                  <c:v>2.2709199998644181E-2</c:v>
                </c:pt>
                <c:pt idx="20">
                  <c:v>2.6999199999409029E-2</c:v>
                </c:pt>
                <c:pt idx="21">
                  <c:v>3.2473999999638181E-2</c:v>
                </c:pt>
                <c:pt idx="22">
                  <c:v>2.5870400000712834E-2</c:v>
                </c:pt>
                <c:pt idx="23">
                  <c:v>2.5814399999944726E-2</c:v>
                </c:pt>
                <c:pt idx="24">
                  <c:v>2.953199997136835E-3</c:v>
                </c:pt>
                <c:pt idx="25">
                  <c:v>1.2287999998079613E-2</c:v>
                </c:pt>
                <c:pt idx="28">
                  <c:v>8.9040000602835789E-4</c:v>
                </c:pt>
                <c:pt idx="29">
                  <c:v>8.7335999996867031E-3</c:v>
                </c:pt>
                <c:pt idx="30">
                  <c:v>7.0560000312980264E-4</c:v>
                </c:pt>
                <c:pt idx="31">
                  <c:v>2.0040399998833891E-2</c:v>
                </c:pt>
                <c:pt idx="32">
                  <c:v>-1.9820000015897676E-3</c:v>
                </c:pt>
                <c:pt idx="33">
                  <c:v>4.3359999981475994E-3</c:v>
                </c:pt>
                <c:pt idx="34">
                  <c:v>-6.6959999821847305E-4</c:v>
                </c:pt>
                <c:pt idx="35">
                  <c:v>3.1679999956395477E-3</c:v>
                </c:pt>
                <c:pt idx="36">
                  <c:v>6.6260000021429732E-3</c:v>
                </c:pt>
                <c:pt idx="37">
                  <c:v>-5.028000014135614E-4</c:v>
                </c:pt>
                <c:pt idx="38">
                  <c:v>1.0971999996399973E-2</c:v>
                </c:pt>
                <c:pt idx="39">
                  <c:v>3.9663999996264465E-3</c:v>
                </c:pt>
                <c:pt idx="40">
                  <c:v>6.4636000024620444E-3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72-4F86-BE24-A533A2A9462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7">
                  <c:v>6.3999999838415533E-5</c:v>
                </c:pt>
                <c:pt idx="41">
                  <c:v>6.7983999979333021E-3</c:v>
                </c:pt>
                <c:pt idx="42">
                  <c:v>-7.2721199998341035E-2</c:v>
                </c:pt>
                <c:pt idx="43">
                  <c:v>6.2787999995634891E-3</c:v>
                </c:pt>
                <c:pt idx="44">
                  <c:v>2.3412000002281275E-2</c:v>
                </c:pt>
                <c:pt idx="46">
                  <c:v>9.5667200002935715E-2</c:v>
                </c:pt>
                <c:pt idx="47">
                  <c:v>-2.4512000003596768E-2</c:v>
                </c:pt>
                <c:pt idx="48">
                  <c:v>1.5487999997276347E-2</c:v>
                </c:pt>
                <c:pt idx="49">
                  <c:v>9.296840000024531E-2</c:v>
                </c:pt>
                <c:pt idx="50">
                  <c:v>-0.10269120000157272</c:v>
                </c:pt>
                <c:pt idx="51">
                  <c:v>0.1237948000052711</c:v>
                </c:pt>
                <c:pt idx="53">
                  <c:v>-1.9668000022647902E-3</c:v>
                </c:pt>
                <c:pt idx="54">
                  <c:v>0</c:v>
                </c:pt>
                <c:pt idx="55">
                  <c:v>2.1488800004590303E-2</c:v>
                </c:pt>
                <c:pt idx="56">
                  <c:v>0.14679199999955017</c:v>
                </c:pt>
                <c:pt idx="57">
                  <c:v>0.16262959999585291</c:v>
                </c:pt>
                <c:pt idx="58">
                  <c:v>0.1764616000073147</c:v>
                </c:pt>
                <c:pt idx="59">
                  <c:v>0.19056120000459487</c:v>
                </c:pt>
                <c:pt idx="60">
                  <c:v>0.2249184000029345</c:v>
                </c:pt>
                <c:pt idx="61">
                  <c:v>0.27665960000013001</c:v>
                </c:pt>
                <c:pt idx="62">
                  <c:v>0.32577600000513485</c:v>
                </c:pt>
                <c:pt idx="63">
                  <c:v>0.36755080000148155</c:v>
                </c:pt>
                <c:pt idx="64">
                  <c:v>0.4514363999987836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72-4F86-BE24-A533A2A946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6">
                  <c:v>7.2868000061134808E-3</c:v>
                </c:pt>
                <c:pt idx="45">
                  <c:v>-1.5114399997401051E-2</c:v>
                </c:pt>
                <c:pt idx="52">
                  <c:v>-2.3731599998427555E-2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72-4F86-BE24-A533A2A946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65">
                  <c:v>0.45825160000094911</c:v>
                </c:pt>
                <c:pt idx="66">
                  <c:v>0.46978080000553746</c:v>
                </c:pt>
                <c:pt idx="67">
                  <c:v>0.51232639999943785</c:v>
                </c:pt>
                <c:pt idx="68">
                  <c:v>0.55991840000206139</c:v>
                </c:pt>
                <c:pt idx="69">
                  <c:v>0.57331760000670329</c:v>
                </c:pt>
                <c:pt idx="70">
                  <c:v>0.57965640000475105</c:v>
                </c:pt>
                <c:pt idx="71">
                  <c:v>0.57847279999987222</c:v>
                </c:pt>
                <c:pt idx="72">
                  <c:v>0.578758800002106</c:v>
                </c:pt>
                <c:pt idx="73">
                  <c:v>0.57427400000597117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72-4F86-BE24-A533A2A946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72-4F86-BE24-A533A2A946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72-4F86-BE24-A533A2A946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26">
                    <c:v>0</c:v>
                  </c:pt>
                  <c:pt idx="45">
                    <c:v>0</c:v>
                  </c:pt>
                  <c:pt idx="52">
                    <c:v>0</c:v>
                  </c:pt>
                  <c:pt idx="54">
                    <c:v>0</c:v>
                  </c:pt>
                  <c:pt idx="61">
                    <c:v>3.0000000000000001E-3</c:v>
                  </c:pt>
                  <c:pt idx="65">
                    <c:v>1E-3</c:v>
                  </c:pt>
                  <c:pt idx="66">
                    <c:v>8.9999999999999998E-4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72-4F86-BE24-A533A2A946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-3414</c:v>
                </c:pt>
                <c:pt idx="1">
                  <c:v>-3157</c:v>
                </c:pt>
                <c:pt idx="2">
                  <c:v>-3102</c:v>
                </c:pt>
                <c:pt idx="3">
                  <c:v>-3034</c:v>
                </c:pt>
                <c:pt idx="4">
                  <c:v>-3029</c:v>
                </c:pt>
                <c:pt idx="5">
                  <c:v>-3020</c:v>
                </c:pt>
                <c:pt idx="6">
                  <c:v>-2971</c:v>
                </c:pt>
                <c:pt idx="7">
                  <c:v>-2967</c:v>
                </c:pt>
                <c:pt idx="8">
                  <c:v>-2964</c:v>
                </c:pt>
                <c:pt idx="9">
                  <c:v>-2907</c:v>
                </c:pt>
                <c:pt idx="10">
                  <c:v>-2641</c:v>
                </c:pt>
                <c:pt idx="11">
                  <c:v>-2571</c:v>
                </c:pt>
                <c:pt idx="12">
                  <c:v>-2559</c:v>
                </c:pt>
                <c:pt idx="13">
                  <c:v>-2502</c:v>
                </c:pt>
                <c:pt idx="14">
                  <c:v>-2369</c:v>
                </c:pt>
                <c:pt idx="15">
                  <c:v>-2368</c:v>
                </c:pt>
                <c:pt idx="16">
                  <c:v>-2307</c:v>
                </c:pt>
                <c:pt idx="17">
                  <c:v>-2183</c:v>
                </c:pt>
                <c:pt idx="18">
                  <c:v>-2119</c:v>
                </c:pt>
                <c:pt idx="19">
                  <c:v>-1789</c:v>
                </c:pt>
                <c:pt idx="20">
                  <c:v>-1714</c:v>
                </c:pt>
                <c:pt idx="21">
                  <c:v>-1705</c:v>
                </c:pt>
                <c:pt idx="22">
                  <c:v>-1668</c:v>
                </c:pt>
                <c:pt idx="23">
                  <c:v>-1648</c:v>
                </c:pt>
                <c:pt idx="24">
                  <c:v>-1519</c:v>
                </c:pt>
                <c:pt idx="25">
                  <c:v>-1460</c:v>
                </c:pt>
                <c:pt idx="26">
                  <c:v>-1431</c:v>
                </c:pt>
                <c:pt idx="27">
                  <c:v>-1380</c:v>
                </c:pt>
                <c:pt idx="28">
                  <c:v>-1318</c:v>
                </c:pt>
                <c:pt idx="29">
                  <c:v>-1262</c:v>
                </c:pt>
                <c:pt idx="30">
                  <c:v>-1252</c:v>
                </c:pt>
                <c:pt idx="31">
                  <c:v>-1193</c:v>
                </c:pt>
                <c:pt idx="32">
                  <c:v>-1185</c:v>
                </c:pt>
                <c:pt idx="33">
                  <c:v>-1120</c:v>
                </c:pt>
                <c:pt idx="34">
                  <c:v>-1118</c:v>
                </c:pt>
                <c:pt idx="35">
                  <c:v>-1060</c:v>
                </c:pt>
                <c:pt idx="36">
                  <c:v>-1045</c:v>
                </c:pt>
                <c:pt idx="37">
                  <c:v>-999</c:v>
                </c:pt>
                <c:pt idx="38">
                  <c:v>-990</c:v>
                </c:pt>
                <c:pt idx="39">
                  <c:v>-988</c:v>
                </c:pt>
                <c:pt idx="40">
                  <c:v>-987</c:v>
                </c:pt>
                <c:pt idx="41">
                  <c:v>-928</c:v>
                </c:pt>
                <c:pt idx="42">
                  <c:v>-921</c:v>
                </c:pt>
                <c:pt idx="43">
                  <c:v>-921</c:v>
                </c:pt>
                <c:pt idx="44">
                  <c:v>-790</c:v>
                </c:pt>
                <c:pt idx="45">
                  <c:v>-602</c:v>
                </c:pt>
                <c:pt idx="46">
                  <c:v>-524</c:v>
                </c:pt>
                <c:pt idx="47">
                  <c:v>-460</c:v>
                </c:pt>
                <c:pt idx="48">
                  <c:v>-460</c:v>
                </c:pt>
                <c:pt idx="49">
                  <c:v>-453</c:v>
                </c:pt>
                <c:pt idx="50">
                  <c:v>-396</c:v>
                </c:pt>
                <c:pt idx="51">
                  <c:v>-391</c:v>
                </c:pt>
                <c:pt idx="52">
                  <c:v>-203</c:v>
                </c:pt>
                <c:pt idx="53">
                  <c:v>-119</c:v>
                </c:pt>
                <c:pt idx="54">
                  <c:v>0</c:v>
                </c:pt>
                <c:pt idx="55">
                  <c:v>254</c:v>
                </c:pt>
                <c:pt idx="56">
                  <c:v>860</c:v>
                </c:pt>
                <c:pt idx="57">
                  <c:v>918</c:v>
                </c:pt>
                <c:pt idx="58">
                  <c:v>978</c:v>
                </c:pt>
                <c:pt idx="59">
                  <c:v>1121</c:v>
                </c:pt>
                <c:pt idx="60">
                  <c:v>1172</c:v>
                </c:pt>
                <c:pt idx="61">
                  <c:v>1443</c:v>
                </c:pt>
                <c:pt idx="62">
                  <c:v>1580</c:v>
                </c:pt>
                <c:pt idx="63">
                  <c:v>1839</c:v>
                </c:pt>
                <c:pt idx="64">
                  <c:v>2237</c:v>
                </c:pt>
                <c:pt idx="65">
                  <c:v>2303</c:v>
                </c:pt>
                <c:pt idx="66">
                  <c:v>2364</c:v>
                </c:pt>
                <c:pt idx="67">
                  <c:v>2562</c:v>
                </c:pt>
                <c:pt idx="68">
                  <c:v>2922</c:v>
                </c:pt>
                <c:pt idx="69">
                  <c:v>2958</c:v>
                </c:pt>
                <c:pt idx="70">
                  <c:v>3087</c:v>
                </c:pt>
                <c:pt idx="71">
                  <c:v>3224</c:v>
                </c:pt>
                <c:pt idx="72">
                  <c:v>3229</c:v>
                </c:pt>
                <c:pt idx="73">
                  <c:v>3295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31">
                  <c:v>1.785163736634196E-2</c:v>
                </c:pt>
                <c:pt idx="32">
                  <c:v>1.88803181424608E-2</c:v>
                </c:pt>
                <c:pt idx="33">
                  <c:v>2.7238349448426208E-2</c:v>
                </c:pt>
                <c:pt idx="34">
                  <c:v>2.7495519642455918E-2</c:v>
                </c:pt>
                <c:pt idx="35">
                  <c:v>3.4953455269317368E-2</c:v>
                </c:pt>
                <c:pt idx="36">
                  <c:v>3.6882231724540165E-2</c:v>
                </c:pt>
                <c:pt idx="37">
                  <c:v>4.2797146187223384E-2</c:v>
                </c:pt>
                <c:pt idx="38">
                  <c:v>4.3954412060357051E-2</c:v>
                </c:pt>
                <c:pt idx="39">
                  <c:v>4.4211582254386761E-2</c:v>
                </c:pt>
                <c:pt idx="40">
                  <c:v>4.4340167351401616E-2</c:v>
                </c:pt>
                <c:pt idx="41">
                  <c:v>5.1926688075277921E-2</c:v>
                </c:pt>
                <c:pt idx="42">
                  <c:v>5.2826783754381879E-2</c:v>
                </c:pt>
                <c:pt idx="43">
                  <c:v>5.2826783754381879E-2</c:v>
                </c:pt>
                <c:pt idx="44">
                  <c:v>6.9671431463327577E-2</c:v>
                </c:pt>
                <c:pt idx="45">
                  <c:v>9.384542970211987E-2</c:v>
                </c:pt>
                <c:pt idx="46">
                  <c:v>0.10387506726927838</c:v>
                </c:pt>
                <c:pt idx="47">
                  <c:v>0.11210451347822895</c:v>
                </c:pt>
                <c:pt idx="48">
                  <c:v>0.11210451347822895</c:v>
                </c:pt>
                <c:pt idx="49">
                  <c:v>0.11300460915733292</c:v>
                </c:pt>
                <c:pt idx="50">
                  <c:v>0.12033395968717953</c:v>
                </c:pt>
                <c:pt idx="51">
                  <c:v>0.12097688517225377</c:v>
                </c:pt>
                <c:pt idx="52">
                  <c:v>0.14515088341104607</c:v>
                </c:pt>
                <c:pt idx="53">
                  <c:v>0.15595203156029369</c:v>
                </c:pt>
                <c:pt idx="54">
                  <c:v>0.17125365810506116</c:v>
                </c:pt>
                <c:pt idx="55">
                  <c:v>0.20391427274683371</c:v>
                </c:pt>
                <c:pt idx="56">
                  <c:v>0.28183684153783439</c:v>
                </c:pt>
                <c:pt idx="57">
                  <c:v>0.28929477716469587</c:v>
                </c:pt>
                <c:pt idx="58">
                  <c:v>0.29700988298558706</c:v>
                </c:pt>
                <c:pt idx="59">
                  <c:v>0.31539755185871099</c:v>
                </c:pt>
                <c:pt idx="60">
                  <c:v>0.32195539180646843</c:v>
                </c:pt>
                <c:pt idx="61">
                  <c:v>0.35680195309749352</c:v>
                </c:pt>
                <c:pt idx="62">
                  <c:v>0.37441811138852832</c:v>
                </c:pt>
                <c:pt idx="63">
                  <c:v>0.40772165151537515</c:v>
                </c:pt>
                <c:pt idx="64">
                  <c:v>0.45889852012728649</c:v>
                </c:pt>
                <c:pt idx="65">
                  <c:v>0.46738513653026675</c:v>
                </c:pt>
                <c:pt idx="66">
                  <c:v>0.4752288274481728</c:v>
                </c:pt>
                <c:pt idx="67">
                  <c:v>0.50068867665711358</c:v>
                </c:pt>
                <c:pt idx="68">
                  <c:v>0.5469793115824606</c:v>
                </c:pt>
                <c:pt idx="69">
                  <c:v>0.55160837507499516</c:v>
                </c:pt>
                <c:pt idx="70">
                  <c:v>0.56819585258991123</c:v>
                </c:pt>
                <c:pt idx="71">
                  <c:v>0.58581201088094603</c:v>
                </c:pt>
                <c:pt idx="72">
                  <c:v>0.58645493636602031</c:v>
                </c:pt>
                <c:pt idx="73">
                  <c:v>0.59494155276900051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72-4F86-BE24-A533A2A9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3760"/>
        <c:axId val="1"/>
      </c:scatterChart>
      <c:valAx>
        <c:axId val="7501037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73298764483702"/>
          <c:w val="0.6558971162530370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C60984-E7F9-9781-0E3B-028E826E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409575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3529D1-4363-4758-9249-55665CC05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17" TargetMode="External"/><Relationship Id="rId2" Type="http://schemas.openxmlformats.org/officeDocument/2006/relationships/hyperlink" Target="http://www.konkoly.hu/cgi-bin/IBVS?501" TargetMode="External"/><Relationship Id="rId1" Type="http://schemas.openxmlformats.org/officeDocument/2006/relationships/hyperlink" Target="http://www.konkoly.hu/cgi-bin/IBVS?501" TargetMode="External"/><Relationship Id="rId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2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  <c r="D1" s="3"/>
    </row>
    <row r="2" spans="1:6" s="43" customFormat="1" ht="12.95" customHeight="1" x14ac:dyDescent="0.2">
      <c r="A2" s="43" t="s">
        <v>28</v>
      </c>
      <c r="B2" s="43" t="s">
        <v>30</v>
      </c>
      <c r="C2" s="44"/>
    </row>
    <row r="3" spans="1:6" s="43" customFormat="1" ht="12.95" customHeight="1" thickBot="1" x14ac:dyDescent="0.25">
      <c r="A3" s="43" t="s">
        <v>29</v>
      </c>
      <c r="C3" s="44"/>
    </row>
    <row r="4" spans="1:6" s="43" customFormat="1" ht="12.95" customHeight="1" thickTop="1" thickBot="1" x14ac:dyDescent="0.25">
      <c r="A4" s="45" t="s">
        <v>4</v>
      </c>
      <c r="C4" s="46">
        <v>41222.7048</v>
      </c>
      <c r="D4" s="47">
        <v>5.5485027999999996</v>
      </c>
    </row>
    <row r="5" spans="1:6" s="43" customFormat="1" ht="12.95" customHeight="1" thickTop="1" x14ac:dyDescent="0.2">
      <c r="A5" s="48" t="s">
        <v>42</v>
      </c>
      <c r="C5" s="49">
        <v>-9.5</v>
      </c>
      <c r="D5" s="43" t="s">
        <v>43</v>
      </c>
    </row>
    <row r="6" spans="1:6" s="43" customFormat="1" ht="12.95" customHeight="1" x14ac:dyDescent="0.2">
      <c r="A6" s="45" t="s">
        <v>5</v>
      </c>
      <c r="C6" s="44"/>
    </row>
    <row r="7" spans="1:6" s="43" customFormat="1" ht="12.95" customHeight="1" x14ac:dyDescent="0.2">
      <c r="A7" s="43" t="s">
        <v>6</v>
      </c>
      <c r="C7" s="43">
        <f>+C4</f>
        <v>41222.7048</v>
      </c>
    </row>
    <row r="8" spans="1:6" s="43" customFormat="1" ht="12.95" customHeight="1" x14ac:dyDescent="0.2">
      <c r="A8" s="43" t="s">
        <v>7</v>
      </c>
      <c r="C8" s="43">
        <f>+D4</f>
        <v>5.5485027999999996</v>
      </c>
    </row>
    <row r="9" spans="1:6" s="43" customFormat="1" ht="12.95" customHeight="1" x14ac:dyDescent="0.2">
      <c r="A9" s="50" t="s">
        <v>47</v>
      </c>
      <c r="B9" s="51">
        <v>85</v>
      </c>
      <c r="C9" s="52" t="str">
        <f>"F"&amp;B9</f>
        <v>F85</v>
      </c>
      <c r="D9" s="53" t="str">
        <f>"G"&amp;B9</f>
        <v>G85</v>
      </c>
    </row>
    <row r="10" spans="1:6" s="43" customFormat="1" ht="12.95" customHeight="1" thickBot="1" x14ac:dyDescent="0.25">
      <c r="C10" s="54" t="s">
        <v>24</v>
      </c>
      <c r="D10" s="54" t="s">
        <v>25</v>
      </c>
    </row>
    <row r="11" spans="1:6" s="43" customFormat="1" ht="12.95" customHeight="1" x14ac:dyDescent="0.2">
      <c r="A11" s="43" t="s">
        <v>20</v>
      </c>
      <c r="C11" s="53">
        <f ca="1">INTERCEPT(INDIRECT($D$9):G990,INDIRECT($C$9):F990)</f>
        <v>0.17125365810506116</v>
      </c>
      <c r="D11" s="55"/>
    </row>
    <row r="12" spans="1:6" s="43" customFormat="1" ht="12.95" customHeight="1" x14ac:dyDescent="0.2">
      <c r="A12" s="43" t="s">
        <v>21</v>
      </c>
      <c r="C12" s="53">
        <f ca="1">SLOPE(INDIRECT($D$9):G990,INDIRECT($C$9):F990)</f>
        <v>1.2858509701485263E-4</v>
      </c>
      <c r="D12" s="55"/>
    </row>
    <row r="13" spans="1:6" s="43" customFormat="1" ht="12.95" customHeight="1" x14ac:dyDescent="0.2">
      <c r="A13" s="43" t="s">
        <v>23</v>
      </c>
      <c r="C13" s="55" t="s">
        <v>18</v>
      </c>
    </row>
    <row r="14" spans="1:6" s="43" customFormat="1" ht="12.95" customHeight="1" x14ac:dyDescent="0.2"/>
    <row r="15" spans="1:6" s="43" customFormat="1" ht="12.95" customHeight="1" x14ac:dyDescent="0.2">
      <c r="A15" s="56" t="s">
        <v>22</v>
      </c>
      <c r="C15" s="57">
        <f ca="1">(C7+C11)+(C8+C12)*INT(MAX(F21:F3531))</f>
        <v>59505.616467552769</v>
      </c>
      <c r="E15" s="58" t="s">
        <v>50</v>
      </c>
      <c r="F15" s="49">
        <v>1</v>
      </c>
    </row>
    <row r="16" spans="1:6" s="43" customFormat="1" ht="12.95" customHeight="1" x14ac:dyDescent="0.2">
      <c r="A16" s="45" t="s">
        <v>8</v>
      </c>
      <c r="C16" s="59">
        <f ca="1">+C8+C12</f>
        <v>5.5486313850970141</v>
      </c>
      <c r="E16" s="58" t="s">
        <v>44</v>
      </c>
      <c r="F16" s="60">
        <f ca="1">NOW()+15018.5+$C$5/24</f>
        <v>60370.783251388886</v>
      </c>
    </row>
    <row r="17" spans="1:17" s="43" customFormat="1" ht="12.95" customHeight="1" thickBot="1" x14ac:dyDescent="0.25">
      <c r="A17" s="58" t="s">
        <v>38</v>
      </c>
      <c r="C17" s="43">
        <f>COUNT(C21:C2189)</f>
        <v>74</v>
      </c>
      <c r="E17" s="58" t="s">
        <v>51</v>
      </c>
      <c r="F17" s="60">
        <f ca="1">ROUND(2*(F16-$C$7)/$C$8,0)/2+F15</f>
        <v>3452</v>
      </c>
    </row>
    <row r="18" spans="1:17" s="43" customFormat="1" ht="12.95" customHeight="1" thickTop="1" thickBot="1" x14ac:dyDescent="0.25">
      <c r="A18" s="45" t="s">
        <v>9</v>
      </c>
      <c r="C18" s="46">
        <f ca="1">+C15</f>
        <v>59505.616467552769</v>
      </c>
      <c r="D18" s="47">
        <f ca="1">+C16</f>
        <v>5.5486313850970141</v>
      </c>
      <c r="E18" s="58" t="s">
        <v>45</v>
      </c>
      <c r="F18" s="53">
        <f ca="1">ROUND(2*(F16-$C$15)/$C$16,0)/2+F15</f>
        <v>157</v>
      </c>
    </row>
    <row r="19" spans="1:17" s="43" customFormat="1" ht="12.95" customHeight="1" thickTop="1" x14ac:dyDescent="0.2">
      <c r="E19" s="58" t="s">
        <v>46</v>
      </c>
      <c r="F19" s="61">
        <f ca="1">+$C$15+$C$16*F18-15018.5-$C$5/24</f>
        <v>45358.647428346339</v>
      </c>
    </row>
    <row r="20" spans="1:17" s="43" customFormat="1" ht="12.95" customHeight="1" thickBot="1" x14ac:dyDescent="0.25">
      <c r="A20" s="54" t="s">
        <v>10</v>
      </c>
      <c r="B20" s="54" t="s">
        <v>11</v>
      </c>
      <c r="C20" s="54" t="s">
        <v>12</v>
      </c>
      <c r="D20" s="54" t="s">
        <v>17</v>
      </c>
      <c r="E20" s="54" t="s">
        <v>13</v>
      </c>
      <c r="F20" s="54" t="s">
        <v>14</v>
      </c>
      <c r="G20" s="54" t="s">
        <v>15</v>
      </c>
      <c r="H20" s="62" t="s">
        <v>36</v>
      </c>
      <c r="I20" s="62" t="s">
        <v>37</v>
      </c>
      <c r="J20" s="62" t="s">
        <v>56</v>
      </c>
      <c r="K20" s="62" t="s">
        <v>54</v>
      </c>
      <c r="L20" s="62" t="s">
        <v>1</v>
      </c>
      <c r="M20" s="62" t="s">
        <v>2</v>
      </c>
      <c r="N20" s="62" t="s">
        <v>3</v>
      </c>
      <c r="O20" s="62" t="s">
        <v>27</v>
      </c>
      <c r="P20" s="63" t="s">
        <v>26</v>
      </c>
      <c r="Q20" s="54" t="s">
        <v>19</v>
      </c>
    </row>
    <row r="21" spans="1:17" s="43" customFormat="1" ht="12.95" customHeight="1" x14ac:dyDescent="0.2">
      <c r="A21" s="64" t="s">
        <v>68</v>
      </c>
      <c r="B21" s="65" t="s">
        <v>41</v>
      </c>
      <c r="C21" s="66">
        <v>22280.2</v>
      </c>
      <c r="D21" s="67"/>
      <c r="E21" s="43">
        <f t="shared" ref="E21:E52" si="0">+(C21-C$7)/C$8</f>
        <v>-3413.9849041799166</v>
      </c>
      <c r="F21" s="43">
        <f t="shared" ref="F21:F52" si="1">ROUND(2*E21,0)/2</f>
        <v>-3414</v>
      </c>
      <c r="G21" s="43">
        <f t="shared" ref="G21:G52" si="2">+C21-(C$7+F21*C$8)</f>
        <v>8.3759199998894474E-2</v>
      </c>
      <c r="H21" s="43">
        <f t="shared" ref="H21:H46" si="3">+G21</f>
        <v>8.3759199998894474E-2</v>
      </c>
      <c r="Q21" s="68">
        <f t="shared" ref="Q21:Q52" si="4">+C21-15018.5</f>
        <v>7261.7000000000007</v>
      </c>
    </row>
    <row r="22" spans="1:17" s="43" customFormat="1" ht="12.95" customHeight="1" x14ac:dyDescent="0.2">
      <c r="A22" s="64" t="s">
        <v>68</v>
      </c>
      <c r="B22" s="65" t="s">
        <v>41</v>
      </c>
      <c r="C22" s="66">
        <v>23706.22</v>
      </c>
      <c r="D22" s="67"/>
      <c r="E22" s="43">
        <f t="shared" si="0"/>
        <v>-3156.9750311741755</v>
      </c>
      <c r="F22" s="43">
        <f t="shared" si="1"/>
        <v>-3157</v>
      </c>
      <c r="G22" s="43">
        <f t="shared" si="2"/>
        <v>0.13853960000051302</v>
      </c>
      <c r="H22" s="43">
        <f t="shared" si="3"/>
        <v>0.13853960000051302</v>
      </c>
      <c r="Q22" s="68">
        <f t="shared" si="4"/>
        <v>8687.7200000000012</v>
      </c>
    </row>
    <row r="23" spans="1:17" s="43" customFormat="1" ht="12.95" customHeight="1" x14ac:dyDescent="0.2">
      <c r="A23" s="64" t="s">
        <v>68</v>
      </c>
      <c r="B23" s="65" t="s">
        <v>41</v>
      </c>
      <c r="C23" s="66">
        <v>24011.52</v>
      </c>
      <c r="D23" s="67"/>
      <c r="E23" s="43">
        <f t="shared" si="0"/>
        <v>-3101.9511786134449</v>
      </c>
      <c r="F23" s="43">
        <f t="shared" si="1"/>
        <v>-3102</v>
      </c>
      <c r="G23" s="43">
        <f t="shared" si="2"/>
        <v>0.27088559999901918</v>
      </c>
      <c r="H23" s="43">
        <f t="shared" si="3"/>
        <v>0.27088559999901918</v>
      </c>
      <c r="Q23" s="68">
        <f t="shared" si="4"/>
        <v>8993.02</v>
      </c>
    </row>
    <row r="24" spans="1:17" s="43" customFormat="1" ht="12.95" customHeight="1" x14ac:dyDescent="0.2">
      <c r="A24" s="64" t="s">
        <v>68</v>
      </c>
      <c r="B24" s="65" t="s">
        <v>41</v>
      </c>
      <c r="C24" s="66">
        <v>24388.52</v>
      </c>
      <c r="D24" s="67"/>
      <c r="E24" s="43">
        <f t="shared" si="0"/>
        <v>-3034.004921111331</v>
      </c>
      <c r="F24" s="43">
        <f t="shared" si="1"/>
        <v>-3034</v>
      </c>
      <c r="G24" s="43">
        <f t="shared" si="2"/>
        <v>-2.7304800001729745E-2</v>
      </c>
      <c r="H24" s="43">
        <f t="shared" si="3"/>
        <v>-2.7304800001729745E-2</v>
      </c>
      <c r="Q24" s="68">
        <f t="shared" si="4"/>
        <v>9370.02</v>
      </c>
    </row>
    <row r="25" spans="1:17" s="43" customFormat="1" ht="12.95" customHeight="1" x14ac:dyDescent="0.2">
      <c r="A25" s="64" t="s">
        <v>68</v>
      </c>
      <c r="B25" s="65" t="s">
        <v>41</v>
      </c>
      <c r="C25" s="66">
        <v>24416.28</v>
      </c>
      <c r="D25" s="67"/>
      <c r="E25" s="43">
        <f t="shared" si="0"/>
        <v>-3029.001769630539</v>
      </c>
      <c r="F25" s="43">
        <f t="shared" si="1"/>
        <v>-3029</v>
      </c>
      <c r="G25" s="43">
        <f t="shared" si="2"/>
        <v>-9.8188000010850374E-3</v>
      </c>
      <c r="H25" s="43">
        <f t="shared" si="3"/>
        <v>-9.8188000010850374E-3</v>
      </c>
      <c r="Q25" s="68">
        <f t="shared" si="4"/>
        <v>9397.7799999999988</v>
      </c>
    </row>
    <row r="26" spans="1:17" s="43" customFormat="1" ht="12.95" customHeight="1" x14ac:dyDescent="0.2">
      <c r="A26" s="64" t="s">
        <v>68</v>
      </c>
      <c r="B26" s="65" t="s">
        <v>41</v>
      </c>
      <c r="C26" s="66">
        <v>24466.33</v>
      </c>
      <c r="D26" s="67"/>
      <c r="E26" s="43">
        <f t="shared" si="0"/>
        <v>-3019.9813182035341</v>
      </c>
      <c r="F26" s="43">
        <f t="shared" si="1"/>
        <v>-3020</v>
      </c>
      <c r="G26" s="43">
        <f t="shared" si="2"/>
        <v>0.10365599999931874</v>
      </c>
      <c r="H26" s="43">
        <f t="shared" si="3"/>
        <v>0.10365599999931874</v>
      </c>
      <c r="Q26" s="68">
        <f t="shared" si="4"/>
        <v>9447.8300000000017</v>
      </c>
    </row>
    <row r="27" spans="1:17" s="43" customFormat="1" ht="12.95" customHeight="1" x14ac:dyDescent="0.2">
      <c r="A27" s="64" t="s">
        <v>68</v>
      </c>
      <c r="B27" s="65" t="s">
        <v>41</v>
      </c>
      <c r="C27" s="66">
        <v>24738.236000000001</v>
      </c>
      <c r="D27" s="67"/>
      <c r="E27" s="43">
        <f t="shared" si="0"/>
        <v>-2970.9760261813331</v>
      </c>
      <c r="F27" s="43">
        <f t="shared" si="1"/>
        <v>-2971</v>
      </c>
      <c r="G27" s="43">
        <f t="shared" si="2"/>
        <v>0.13301879999926314</v>
      </c>
      <c r="H27" s="43">
        <f t="shared" si="3"/>
        <v>0.13301879999926314</v>
      </c>
      <c r="Q27" s="68">
        <f t="shared" si="4"/>
        <v>9719.7360000000008</v>
      </c>
    </row>
    <row r="28" spans="1:17" s="43" customFormat="1" ht="12.95" customHeight="1" x14ac:dyDescent="0.2">
      <c r="A28" s="64" t="s">
        <v>68</v>
      </c>
      <c r="B28" s="65" t="s">
        <v>41</v>
      </c>
      <c r="C28" s="66">
        <v>24760.432000000001</v>
      </c>
      <c r="D28" s="67"/>
      <c r="E28" s="43">
        <f t="shared" si="0"/>
        <v>-2966.9756677422961</v>
      </c>
      <c r="F28" s="43">
        <f t="shared" si="1"/>
        <v>-2967</v>
      </c>
      <c r="G28" s="43">
        <f t="shared" si="2"/>
        <v>0.13500760000169976</v>
      </c>
      <c r="H28" s="43">
        <f t="shared" si="3"/>
        <v>0.13500760000169976</v>
      </c>
      <c r="Q28" s="68">
        <f t="shared" si="4"/>
        <v>9741.9320000000007</v>
      </c>
    </row>
    <row r="29" spans="1:17" s="43" customFormat="1" ht="12.95" customHeight="1" x14ac:dyDescent="0.2">
      <c r="A29" s="64" t="s">
        <v>68</v>
      </c>
      <c r="B29" s="65" t="s">
        <v>41</v>
      </c>
      <c r="C29" s="66">
        <v>24777.078000000001</v>
      </c>
      <c r="D29" s="67"/>
      <c r="E29" s="43">
        <f t="shared" si="0"/>
        <v>-2963.9755791418179</v>
      </c>
      <c r="F29" s="43">
        <f t="shared" si="1"/>
        <v>-2964</v>
      </c>
      <c r="G29" s="43">
        <f t="shared" si="2"/>
        <v>0.13549920000150451</v>
      </c>
      <c r="H29" s="43">
        <f t="shared" si="3"/>
        <v>0.13549920000150451</v>
      </c>
      <c r="Q29" s="68">
        <f t="shared" si="4"/>
        <v>9758.5780000000013</v>
      </c>
    </row>
    <row r="30" spans="1:17" x14ac:dyDescent="0.2">
      <c r="A30" s="28" t="s">
        <v>98</v>
      </c>
      <c r="B30" s="30" t="s">
        <v>41</v>
      </c>
      <c r="C30" s="29">
        <v>25093.331999999999</v>
      </c>
      <c r="D30" s="6"/>
      <c r="E30">
        <f t="shared" si="0"/>
        <v>-2906.9775003087325</v>
      </c>
      <c r="F30">
        <f t="shared" si="1"/>
        <v>-2907</v>
      </c>
      <c r="G30">
        <f t="shared" si="2"/>
        <v>0.12483959999735816</v>
      </c>
      <c r="H30">
        <f t="shared" si="3"/>
        <v>0.12483959999735816</v>
      </c>
      <c r="Q30" s="2">
        <f t="shared" si="4"/>
        <v>10074.831999999999</v>
      </c>
    </row>
    <row r="31" spans="1:17" x14ac:dyDescent="0.2">
      <c r="A31" s="28" t="s">
        <v>98</v>
      </c>
      <c r="B31" s="30" t="s">
        <v>41</v>
      </c>
      <c r="C31" s="29">
        <v>26569.190999999999</v>
      </c>
      <c r="D31" s="6"/>
      <c r="E31">
        <f t="shared" si="0"/>
        <v>-2640.9852041527315</v>
      </c>
      <c r="F31">
        <f t="shared" si="1"/>
        <v>-2641</v>
      </c>
      <c r="G31">
        <f t="shared" si="2"/>
        <v>8.2094799996411894E-2</v>
      </c>
      <c r="H31">
        <f t="shared" si="3"/>
        <v>8.2094799996411894E-2</v>
      </c>
      <c r="Q31" s="2">
        <f t="shared" si="4"/>
        <v>11550.690999999999</v>
      </c>
    </row>
    <row r="32" spans="1:17" x14ac:dyDescent="0.2">
      <c r="A32" s="28" t="s">
        <v>106</v>
      </c>
      <c r="B32" s="30" t="s">
        <v>41</v>
      </c>
      <c r="C32" s="29">
        <v>26957.465</v>
      </c>
      <c r="D32" s="6"/>
      <c r="E32">
        <f t="shared" si="0"/>
        <v>-2571.0070471623444</v>
      </c>
      <c r="F32">
        <f t="shared" si="1"/>
        <v>-2571</v>
      </c>
      <c r="G32">
        <f t="shared" si="2"/>
        <v>-3.910120000000461E-2</v>
      </c>
      <c r="H32">
        <f t="shared" si="3"/>
        <v>-3.910120000000461E-2</v>
      </c>
      <c r="Q32" s="2">
        <f t="shared" si="4"/>
        <v>11938.965</v>
      </c>
    </row>
    <row r="33" spans="1:17" x14ac:dyDescent="0.2">
      <c r="A33" s="28" t="s">
        <v>98</v>
      </c>
      <c r="B33" s="30" t="s">
        <v>41</v>
      </c>
      <c r="C33" s="29">
        <v>27024.23</v>
      </c>
      <c r="D33" s="6"/>
      <c r="E33">
        <f t="shared" si="0"/>
        <v>-2558.9740713476799</v>
      </c>
      <c r="F33">
        <f t="shared" si="1"/>
        <v>-2559</v>
      </c>
      <c r="G33">
        <f t="shared" si="2"/>
        <v>0.14386519999970915</v>
      </c>
      <c r="H33">
        <f t="shared" si="3"/>
        <v>0.14386519999970915</v>
      </c>
      <c r="Q33" s="2">
        <f t="shared" si="4"/>
        <v>12005.73</v>
      </c>
    </row>
    <row r="34" spans="1:17" x14ac:dyDescent="0.2">
      <c r="A34" s="28" t="s">
        <v>113</v>
      </c>
      <c r="B34" s="30" t="s">
        <v>41</v>
      </c>
      <c r="C34" s="29">
        <v>27340.43</v>
      </c>
      <c r="D34" s="6"/>
      <c r="E34">
        <f t="shared" si="0"/>
        <v>-2501.9857248697795</v>
      </c>
      <c r="F34">
        <f t="shared" si="1"/>
        <v>-2502</v>
      </c>
      <c r="G34">
        <f t="shared" si="2"/>
        <v>7.9205599999113474E-2</v>
      </c>
      <c r="H34">
        <f t="shared" si="3"/>
        <v>7.9205599999113474E-2</v>
      </c>
      <c r="Q34" s="2">
        <f t="shared" si="4"/>
        <v>12321.93</v>
      </c>
    </row>
    <row r="35" spans="1:17" x14ac:dyDescent="0.2">
      <c r="A35" s="28" t="s">
        <v>106</v>
      </c>
      <c r="B35" s="30" t="s">
        <v>41</v>
      </c>
      <c r="C35" s="29">
        <v>28078.298999999999</v>
      </c>
      <c r="D35" s="6"/>
      <c r="E35">
        <f t="shared" si="0"/>
        <v>-2369.0004806341635</v>
      </c>
      <c r="F35">
        <f t="shared" si="1"/>
        <v>-2369</v>
      </c>
      <c r="G35">
        <f t="shared" si="2"/>
        <v>-2.6667999991332181E-3</v>
      </c>
      <c r="H35">
        <f t="shared" si="3"/>
        <v>-2.6667999991332181E-3</v>
      </c>
      <c r="Q35" s="2">
        <f t="shared" si="4"/>
        <v>13059.798999999999</v>
      </c>
    </row>
    <row r="36" spans="1:17" x14ac:dyDescent="0.2">
      <c r="A36" s="28" t="s">
        <v>120</v>
      </c>
      <c r="B36" s="30" t="s">
        <v>41</v>
      </c>
      <c r="C36" s="29">
        <v>28083.9</v>
      </c>
      <c r="D36" s="6"/>
      <c r="E36">
        <f t="shared" si="0"/>
        <v>-2367.9910191268173</v>
      </c>
      <c r="F36">
        <f t="shared" si="1"/>
        <v>-2368</v>
      </c>
      <c r="G36">
        <f t="shared" si="2"/>
        <v>4.9830399999336805E-2</v>
      </c>
      <c r="H36">
        <f t="shared" si="3"/>
        <v>4.9830399999336805E-2</v>
      </c>
      <c r="Q36" s="2">
        <f t="shared" si="4"/>
        <v>13065.400000000001</v>
      </c>
    </row>
    <row r="37" spans="1:17" x14ac:dyDescent="0.2">
      <c r="A37" s="28" t="s">
        <v>106</v>
      </c>
      <c r="B37" s="30" t="s">
        <v>41</v>
      </c>
      <c r="C37" s="29">
        <v>28422.458999999999</v>
      </c>
      <c r="D37" s="6"/>
      <c r="E37">
        <f t="shared" si="0"/>
        <v>-2306.972936915523</v>
      </c>
      <c r="F37">
        <f t="shared" si="1"/>
        <v>-2307</v>
      </c>
      <c r="G37">
        <f t="shared" si="2"/>
        <v>0.15015959999800543</v>
      </c>
      <c r="H37">
        <f t="shared" si="3"/>
        <v>0.15015959999800543</v>
      </c>
      <c r="Q37" s="2">
        <f t="shared" si="4"/>
        <v>13403.958999999999</v>
      </c>
    </row>
    <row r="38" spans="1:17" x14ac:dyDescent="0.2">
      <c r="A38" s="28" t="s">
        <v>106</v>
      </c>
      <c r="B38" s="30" t="s">
        <v>41</v>
      </c>
      <c r="C38" s="29">
        <v>29110.482</v>
      </c>
      <c r="D38" s="6"/>
      <c r="E38">
        <f t="shared" si="0"/>
        <v>-2182.9713774317643</v>
      </c>
      <c r="F38">
        <f t="shared" si="1"/>
        <v>-2183</v>
      </c>
      <c r="G38">
        <f t="shared" si="2"/>
        <v>0.15881240000089747</v>
      </c>
      <c r="H38">
        <f t="shared" si="3"/>
        <v>0.15881240000089747</v>
      </c>
      <c r="Q38" s="2">
        <f t="shared" si="4"/>
        <v>14091.982</v>
      </c>
    </row>
    <row r="39" spans="1:17" x14ac:dyDescent="0.2">
      <c r="A39" s="28" t="s">
        <v>106</v>
      </c>
      <c r="B39" s="30" t="s">
        <v>41</v>
      </c>
      <c r="C39" s="29">
        <v>29465.462</v>
      </c>
      <c r="D39" s="6"/>
      <c r="E39">
        <f t="shared" si="0"/>
        <v>-2118.9937580999331</v>
      </c>
      <c r="F39">
        <f t="shared" si="1"/>
        <v>-2119</v>
      </c>
      <c r="G39">
        <f t="shared" si="2"/>
        <v>3.4633199997188058E-2</v>
      </c>
      <c r="H39">
        <f t="shared" si="3"/>
        <v>3.4633199997188058E-2</v>
      </c>
      <c r="Q39" s="2">
        <f t="shared" si="4"/>
        <v>14446.962</v>
      </c>
    </row>
    <row r="40" spans="1:17" x14ac:dyDescent="0.2">
      <c r="A40" s="28" t="s">
        <v>98</v>
      </c>
      <c r="B40" s="30" t="s">
        <v>41</v>
      </c>
      <c r="C40" s="29">
        <v>31296.455999999998</v>
      </c>
      <c r="D40" s="6"/>
      <c r="E40">
        <f t="shared" si="0"/>
        <v>-1788.9959071481412</v>
      </c>
      <c r="F40">
        <f t="shared" si="1"/>
        <v>-1789</v>
      </c>
      <c r="G40">
        <f t="shared" si="2"/>
        <v>2.2709199998644181E-2</v>
      </c>
      <c r="H40">
        <f t="shared" si="3"/>
        <v>2.2709199998644181E-2</v>
      </c>
      <c r="Q40" s="2">
        <f t="shared" si="4"/>
        <v>16277.955999999998</v>
      </c>
    </row>
    <row r="41" spans="1:17" x14ac:dyDescent="0.2">
      <c r="A41" s="28" t="s">
        <v>137</v>
      </c>
      <c r="B41" s="30" t="s">
        <v>41</v>
      </c>
      <c r="C41" s="29">
        <v>31712.598000000002</v>
      </c>
      <c r="D41" s="6"/>
      <c r="E41">
        <f t="shared" si="0"/>
        <v>-1713.9951339665897</v>
      </c>
      <c r="F41">
        <f t="shared" si="1"/>
        <v>-1714</v>
      </c>
      <c r="G41">
        <f t="shared" si="2"/>
        <v>2.6999199999409029E-2</v>
      </c>
      <c r="H41">
        <f t="shared" si="3"/>
        <v>2.6999199999409029E-2</v>
      </c>
      <c r="Q41" s="2">
        <f t="shared" si="4"/>
        <v>16694.098000000002</v>
      </c>
    </row>
    <row r="42" spans="1:17" x14ac:dyDescent="0.2">
      <c r="A42" s="28" t="s">
        <v>141</v>
      </c>
      <c r="B42" s="30" t="s">
        <v>41</v>
      </c>
      <c r="C42" s="29">
        <v>31762.54</v>
      </c>
      <c r="D42" s="6"/>
      <c r="E42">
        <f t="shared" si="0"/>
        <v>-1704.994147249957</v>
      </c>
      <c r="F42">
        <f t="shared" si="1"/>
        <v>-1705</v>
      </c>
      <c r="G42">
        <f t="shared" si="2"/>
        <v>3.2473999999638181E-2</v>
      </c>
      <c r="H42">
        <f t="shared" si="3"/>
        <v>3.2473999999638181E-2</v>
      </c>
      <c r="Q42" s="2">
        <f t="shared" si="4"/>
        <v>16744.04</v>
      </c>
    </row>
    <row r="43" spans="1:17" x14ac:dyDescent="0.2">
      <c r="A43" s="28" t="s">
        <v>137</v>
      </c>
      <c r="B43" s="30" t="s">
        <v>41</v>
      </c>
      <c r="C43" s="29">
        <v>31967.828000000001</v>
      </c>
      <c r="D43" s="6"/>
      <c r="E43">
        <f t="shared" si="0"/>
        <v>-1667.9953374088591</v>
      </c>
      <c r="F43">
        <f t="shared" si="1"/>
        <v>-1668</v>
      </c>
      <c r="G43">
        <f t="shared" si="2"/>
        <v>2.5870400000712834E-2</v>
      </c>
      <c r="H43">
        <f t="shared" si="3"/>
        <v>2.5870400000712834E-2</v>
      </c>
      <c r="Q43" s="2">
        <f t="shared" si="4"/>
        <v>16949.328000000001</v>
      </c>
    </row>
    <row r="44" spans="1:17" x14ac:dyDescent="0.2">
      <c r="A44" s="28" t="s">
        <v>141</v>
      </c>
      <c r="B44" s="30" t="s">
        <v>41</v>
      </c>
      <c r="C44" s="29">
        <v>32078.797999999999</v>
      </c>
      <c r="D44" s="6"/>
      <c r="E44">
        <f t="shared" si="0"/>
        <v>-1647.9953475016723</v>
      </c>
      <c r="F44">
        <f t="shared" si="1"/>
        <v>-1648</v>
      </c>
      <c r="G44">
        <f t="shared" si="2"/>
        <v>2.5814399999944726E-2</v>
      </c>
      <c r="H44">
        <f t="shared" si="3"/>
        <v>2.5814399999944726E-2</v>
      </c>
      <c r="Q44" s="2">
        <f t="shared" si="4"/>
        <v>17060.297999999999</v>
      </c>
    </row>
    <row r="45" spans="1:17" x14ac:dyDescent="0.2">
      <c r="A45" s="28" t="s">
        <v>151</v>
      </c>
      <c r="B45" s="30" t="s">
        <v>41</v>
      </c>
      <c r="C45" s="29">
        <v>32794.531999999999</v>
      </c>
      <c r="D45" s="6"/>
      <c r="E45">
        <f t="shared" si="0"/>
        <v>-1518.9994677483087</v>
      </c>
      <c r="F45">
        <f t="shared" si="1"/>
        <v>-1519</v>
      </c>
      <c r="G45">
        <f t="shared" si="2"/>
        <v>2.953199997136835E-3</v>
      </c>
      <c r="H45">
        <f t="shared" si="3"/>
        <v>2.953199997136835E-3</v>
      </c>
      <c r="Q45" s="2">
        <f t="shared" si="4"/>
        <v>17776.031999999999</v>
      </c>
    </row>
    <row r="46" spans="1:17" x14ac:dyDescent="0.2">
      <c r="A46" s="28" t="s">
        <v>141</v>
      </c>
      <c r="B46" s="30" t="s">
        <v>41</v>
      </c>
      <c r="C46" s="29">
        <v>33121.902999999998</v>
      </c>
      <c r="D46" s="6"/>
      <c r="E46">
        <f t="shared" si="0"/>
        <v>-1459.9977853485091</v>
      </c>
      <c r="F46">
        <f t="shared" si="1"/>
        <v>-1460</v>
      </c>
      <c r="G46">
        <f t="shared" si="2"/>
        <v>1.2287999998079613E-2</v>
      </c>
      <c r="H46">
        <f t="shared" si="3"/>
        <v>1.2287999998079613E-2</v>
      </c>
      <c r="Q46" s="2">
        <f t="shared" si="4"/>
        <v>18103.402999999998</v>
      </c>
    </row>
    <row r="47" spans="1:17" x14ac:dyDescent="0.2">
      <c r="A47" t="s">
        <v>31</v>
      </c>
      <c r="C47" s="6">
        <v>33282.804580000004</v>
      </c>
      <c r="D47" s="6" t="s">
        <v>18</v>
      </c>
      <c r="E47">
        <f t="shared" si="0"/>
        <v>-1430.9986867087814</v>
      </c>
      <c r="F47">
        <f t="shared" si="1"/>
        <v>-1431</v>
      </c>
      <c r="G47">
        <f t="shared" si="2"/>
        <v>7.2868000061134808E-3</v>
      </c>
      <c r="J47">
        <f>+G47</f>
        <v>7.2868000061134808E-3</v>
      </c>
      <c r="Q47" s="2">
        <f t="shared" si="4"/>
        <v>18264.304580000004</v>
      </c>
    </row>
    <row r="48" spans="1:17" x14ac:dyDescent="0.2">
      <c r="A48" t="s">
        <v>32</v>
      </c>
      <c r="C48" s="7">
        <v>33565.771000000001</v>
      </c>
      <c r="D48" s="6"/>
      <c r="E48">
        <f t="shared" si="0"/>
        <v>-1379.9999884653566</v>
      </c>
      <c r="F48">
        <f t="shared" si="1"/>
        <v>-1380</v>
      </c>
      <c r="G48">
        <f t="shared" si="2"/>
        <v>6.3999999838415533E-5</v>
      </c>
      <c r="I48">
        <f>+G48</f>
        <v>6.3999999838415533E-5</v>
      </c>
      <c r="Q48" s="2">
        <f t="shared" si="4"/>
        <v>18547.271000000001</v>
      </c>
    </row>
    <row r="49" spans="1:17" x14ac:dyDescent="0.2">
      <c r="A49" s="28" t="s">
        <v>141</v>
      </c>
      <c r="B49" s="30" t="s">
        <v>41</v>
      </c>
      <c r="C49" s="29">
        <v>33909.779000000002</v>
      </c>
      <c r="D49" s="6"/>
      <c r="E49">
        <f t="shared" si="0"/>
        <v>-1317.9998395242762</v>
      </c>
      <c r="F49">
        <f t="shared" si="1"/>
        <v>-1318</v>
      </c>
      <c r="G49">
        <f t="shared" si="2"/>
        <v>8.9040000602835789E-4</v>
      </c>
      <c r="H49">
        <f t="shared" ref="H49:H61" si="5">+G49</f>
        <v>8.9040000602835789E-4</v>
      </c>
      <c r="Q49" s="2">
        <f t="shared" si="4"/>
        <v>18891.279000000002</v>
      </c>
    </row>
    <row r="50" spans="1:17" x14ac:dyDescent="0.2">
      <c r="A50" s="28" t="s">
        <v>164</v>
      </c>
      <c r="B50" s="30" t="s">
        <v>41</v>
      </c>
      <c r="C50" s="29">
        <v>34220.502999999997</v>
      </c>
      <c r="D50" s="6"/>
      <c r="E50">
        <f t="shared" si="0"/>
        <v>-1261.998425953755</v>
      </c>
      <c r="F50">
        <f t="shared" si="1"/>
        <v>-1262</v>
      </c>
      <c r="G50">
        <f t="shared" si="2"/>
        <v>8.7335999996867031E-3</v>
      </c>
      <c r="H50">
        <f t="shared" si="5"/>
        <v>8.7335999996867031E-3</v>
      </c>
      <c r="Q50" s="2">
        <f t="shared" si="4"/>
        <v>19202.002999999997</v>
      </c>
    </row>
    <row r="51" spans="1:17" x14ac:dyDescent="0.2">
      <c r="A51" s="28" t="s">
        <v>141</v>
      </c>
      <c r="B51" s="30" t="s">
        <v>41</v>
      </c>
      <c r="C51" s="29">
        <v>34275.980000000003</v>
      </c>
      <c r="D51" s="6"/>
      <c r="E51">
        <f t="shared" si="0"/>
        <v>-1251.9998728305584</v>
      </c>
      <c r="F51">
        <f t="shared" si="1"/>
        <v>-1252</v>
      </c>
      <c r="G51">
        <f t="shared" si="2"/>
        <v>7.0560000312980264E-4</v>
      </c>
      <c r="H51">
        <f t="shared" si="5"/>
        <v>7.0560000312980264E-4</v>
      </c>
      <c r="Q51" s="2">
        <f t="shared" si="4"/>
        <v>19257.480000000003</v>
      </c>
    </row>
    <row r="52" spans="1:17" x14ac:dyDescent="0.2">
      <c r="A52" s="28" t="s">
        <v>170</v>
      </c>
      <c r="B52" s="30" t="s">
        <v>41</v>
      </c>
      <c r="C52" s="29">
        <v>34603.360999999997</v>
      </c>
      <c r="D52" s="6"/>
      <c r="E52">
        <f t="shared" si="0"/>
        <v>-1192.9963881427623</v>
      </c>
      <c r="F52">
        <f t="shared" si="1"/>
        <v>-1193</v>
      </c>
      <c r="G52">
        <f t="shared" si="2"/>
        <v>2.0040399998833891E-2</v>
      </c>
      <c r="H52">
        <f t="shared" si="5"/>
        <v>2.0040399998833891E-2</v>
      </c>
      <c r="O52">
        <f t="shared" ref="O52:O94" ca="1" si="6">+C$11+C$12*$F52</f>
        <v>1.785163736634196E-2</v>
      </c>
      <c r="Q52" s="2">
        <f t="shared" si="4"/>
        <v>19584.860999999997</v>
      </c>
    </row>
    <row r="53" spans="1:17" x14ac:dyDescent="0.2">
      <c r="A53" s="28" t="s">
        <v>141</v>
      </c>
      <c r="B53" s="30" t="s">
        <v>41</v>
      </c>
      <c r="C53" s="29">
        <v>34647.726999999999</v>
      </c>
      <c r="D53" s="6"/>
      <c r="E53">
        <f t="shared" ref="E53:E84" si="7">+(C53-C$7)/C$8</f>
        <v>-1185.0003572134813</v>
      </c>
      <c r="F53">
        <f t="shared" ref="F53:F84" si="8">ROUND(2*E53,0)/2</f>
        <v>-1185</v>
      </c>
      <c r="G53">
        <f t="shared" ref="G53:G84" si="9">+C53-(C$7+F53*C$8)</f>
        <v>-1.9820000015897676E-3</v>
      </c>
      <c r="H53">
        <f t="shared" si="5"/>
        <v>-1.9820000015897676E-3</v>
      </c>
      <c r="O53">
        <f t="shared" ca="1" si="6"/>
        <v>1.88803181424608E-2</v>
      </c>
      <c r="Q53" s="2">
        <f t="shared" ref="Q53:Q84" si="10">+C53-15018.5</f>
        <v>19629.226999999999</v>
      </c>
    </row>
    <row r="54" spans="1:17" x14ac:dyDescent="0.2">
      <c r="A54" s="28" t="s">
        <v>177</v>
      </c>
      <c r="B54" s="30" t="s">
        <v>41</v>
      </c>
      <c r="C54" s="29">
        <v>35008.385999999999</v>
      </c>
      <c r="D54" s="6"/>
      <c r="E54">
        <f t="shared" si="7"/>
        <v>-1119.9992185279245</v>
      </c>
      <c r="F54">
        <f t="shared" si="8"/>
        <v>-1120</v>
      </c>
      <c r="G54">
        <f t="shared" si="9"/>
        <v>4.3359999981475994E-3</v>
      </c>
      <c r="H54">
        <f t="shared" si="5"/>
        <v>4.3359999981475994E-3</v>
      </c>
      <c r="O54">
        <f t="shared" ca="1" si="6"/>
        <v>2.7238349448426208E-2</v>
      </c>
      <c r="Q54" s="2">
        <f t="shared" si="10"/>
        <v>19989.885999999999</v>
      </c>
    </row>
    <row r="55" spans="1:17" x14ac:dyDescent="0.2">
      <c r="A55" s="28" t="s">
        <v>141</v>
      </c>
      <c r="B55" s="30" t="s">
        <v>41</v>
      </c>
      <c r="C55" s="29">
        <v>35019.478000000003</v>
      </c>
      <c r="D55" s="6"/>
      <c r="E55">
        <f t="shared" si="7"/>
        <v>-1118.0001206812037</v>
      </c>
      <c r="F55">
        <f t="shared" si="8"/>
        <v>-1118</v>
      </c>
      <c r="G55">
        <f t="shared" si="9"/>
        <v>-6.6959999821847305E-4</v>
      </c>
      <c r="H55">
        <f t="shared" si="5"/>
        <v>-6.6959999821847305E-4</v>
      </c>
      <c r="O55">
        <f t="shared" ca="1" si="6"/>
        <v>2.7495519642455918E-2</v>
      </c>
      <c r="Q55" s="2">
        <f t="shared" si="10"/>
        <v>20000.978000000003</v>
      </c>
    </row>
    <row r="56" spans="1:17" x14ac:dyDescent="0.2">
      <c r="A56" s="28" t="s">
        <v>183</v>
      </c>
      <c r="B56" s="30" t="s">
        <v>41</v>
      </c>
      <c r="C56" s="29">
        <v>35341.294999999998</v>
      </c>
      <c r="D56" s="6"/>
      <c r="E56">
        <f t="shared" si="7"/>
        <v>-1059.9994290351626</v>
      </c>
      <c r="F56">
        <f t="shared" si="8"/>
        <v>-1060</v>
      </c>
      <c r="G56">
        <f t="shared" si="9"/>
        <v>3.1679999956395477E-3</v>
      </c>
      <c r="H56">
        <f t="shared" si="5"/>
        <v>3.1679999956395477E-3</v>
      </c>
      <c r="O56">
        <f t="shared" ca="1" si="6"/>
        <v>3.4953455269317368E-2</v>
      </c>
      <c r="Q56" s="2">
        <f t="shared" si="10"/>
        <v>20322.794999999998</v>
      </c>
    </row>
    <row r="57" spans="1:17" x14ac:dyDescent="0.2">
      <c r="A57" s="28" t="s">
        <v>141</v>
      </c>
      <c r="B57" s="30" t="s">
        <v>41</v>
      </c>
      <c r="C57" s="29">
        <v>35424.525999999998</v>
      </c>
      <c r="D57" s="6"/>
      <c r="E57">
        <f t="shared" si="7"/>
        <v>-1044.9988058039733</v>
      </c>
      <c r="F57">
        <f t="shared" si="8"/>
        <v>-1045</v>
      </c>
      <c r="G57">
        <f t="shared" si="9"/>
        <v>6.6260000021429732E-3</v>
      </c>
      <c r="H57">
        <f t="shared" si="5"/>
        <v>6.6260000021429732E-3</v>
      </c>
      <c r="O57">
        <f t="shared" ca="1" si="6"/>
        <v>3.6882231724540165E-2</v>
      </c>
      <c r="Q57" s="2">
        <f t="shared" si="10"/>
        <v>20406.025999999998</v>
      </c>
    </row>
    <row r="58" spans="1:17" x14ac:dyDescent="0.2">
      <c r="A58" s="28" t="s">
        <v>141</v>
      </c>
      <c r="B58" s="30" t="s">
        <v>41</v>
      </c>
      <c r="C58" s="29">
        <v>35679.75</v>
      </c>
      <c r="D58" s="6"/>
      <c r="E58">
        <f t="shared" si="7"/>
        <v>-999.00009061904052</v>
      </c>
      <c r="F58">
        <f t="shared" si="8"/>
        <v>-999</v>
      </c>
      <c r="G58">
        <f t="shared" si="9"/>
        <v>-5.028000014135614E-4</v>
      </c>
      <c r="H58">
        <f t="shared" si="5"/>
        <v>-5.028000014135614E-4</v>
      </c>
      <c r="O58">
        <f t="shared" ca="1" si="6"/>
        <v>4.2797146187223384E-2</v>
      </c>
      <c r="Q58" s="2">
        <f t="shared" si="10"/>
        <v>20661.25</v>
      </c>
    </row>
    <row r="59" spans="1:17" x14ac:dyDescent="0.2">
      <c r="A59" s="28" t="s">
        <v>141</v>
      </c>
      <c r="B59" s="30" t="s">
        <v>41</v>
      </c>
      <c r="C59" s="29">
        <v>35729.697999999997</v>
      </c>
      <c r="D59" s="6"/>
      <c r="E59">
        <f t="shared" si="7"/>
        <v>-989.99802252960978</v>
      </c>
      <c r="F59">
        <f t="shared" si="8"/>
        <v>-990</v>
      </c>
      <c r="G59">
        <f t="shared" si="9"/>
        <v>1.0971999996399973E-2</v>
      </c>
      <c r="H59">
        <f t="shared" si="5"/>
        <v>1.0971999996399973E-2</v>
      </c>
      <c r="O59">
        <f t="shared" ca="1" si="6"/>
        <v>4.3954412060357051E-2</v>
      </c>
      <c r="Q59" s="2">
        <f t="shared" si="10"/>
        <v>20711.197999999997</v>
      </c>
    </row>
    <row r="60" spans="1:17" x14ac:dyDescent="0.2">
      <c r="A60" s="28" t="s">
        <v>141</v>
      </c>
      <c r="B60" s="30" t="s">
        <v>41</v>
      </c>
      <c r="C60" s="29">
        <v>35740.788</v>
      </c>
      <c r="D60" s="6"/>
      <c r="E60">
        <f t="shared" si="7"/>
        <v>-987.99928514048861</v>
      </c>
      <c r="F60">
        <f t="shared" si="8"/>
        <v>-988</v>
      </c>
      <c r="G60">
        <f t="shared" si="9"/>
        <v>3.9663999996264465E-3</v>
      </c>
      <c r="H60">
        <f t="shared" si="5"/>
        <v>3.9663999996264465E-3</v>
      </c>
      <c r="O60">
        <f t="shared" ca="1" si="6"/>
        <v>4.4211582254386761E-2</v>
      </c>
      <c r="Q60" s="2">
        <f t="shared" si="10"/>
        <v>20722.288</v>
      </c>
    </row>
    <row r="61" spans="1:17" x14ac:dyDescent="0.2">
      <c r="A61" s="28" t="s">
        <v>197</v>
      </c>
      <c r="B61" s="30" t="s">
        <v>41</v>
      </c>
      <c r="C61" s="29">
        <v>35746.339</v>
      </c>
      <c r="D61" s="6"/>
      <c r="E61">
        <f t="shared" si="7"/>
        <v>-986.99883507312995</v>
      </c>
      <c r="F61">
        <f t="shared" si="8"/>
        <v>-987</v>
      </c>
      <c r="G61">
        <f t="shared" si="9"/>
        <v>6.4636000024620444E-3</v>
      </c>
      <c r="H61">
        <f t="shared" si="5"/>
        <v>6.4636000024620444E-3</v>
      </c>
      <c r="O61">
        <f t="shared" ca="1" si="6"/>
        <v>4.4340167351401616E-2</v>
      </c>
      <c r="Q61" s="2">
        <f t="shared" si="10"/>
        <v>20727.839</v>
      </c>
    </row>
    <row r="62" spans="1:17" x14ac:dyDescent="0.2">
      <c r="A62" t="s">
        <v>33</v>
      </c>
      <c r="C62" s="6">
        <v>36073.701000000001</v>
      </c>
      <c r="D62" s="6"/>
      <c r="E62">
        <f t="shared" si="7"/>
        <v>-927.99877473252764</v>
      </c>
      <c r="F62">
        <f t="shared" si="8"/>
        <v>-928</v>
      </c>
      <c r="G62">
        <f t="shared" si="9"/>
        <v>6.7983999979333021E-3</v>
      </c>
      <c r="I62">
        <f>+G62</f>
        <v>6.7983999979333021E-3</v>
      </c>
      <c r="O62">
        <f t="shared" ca="1" si="6"/>
        <v>5.1926688075277921E-2</v>
      </c>
      <c r="Q62" s="2">
        <f t="shared" si="10"/>
        <v>21055.201000000001</v>
      </c>
    </row>
    <row r="63" spans="1:17" x14ac:dyDescent="0.2">
      <c r="A63" s="28" t="s">
        <v>205</v>
      </c>
      <c r="B63" s="30" t="s">
        <v>41</v>
      </c>
      <c r="C63" s="29">
        <v>36112.461000000003</v>
      </c>
      <c r="D63" s="6"/>
      <c r="E63">
        <f t="shared" si="7"/>
        <v>-921.01310645459114</v>
      </c>
      <c r="F63">
        <f t="shared" si="8"/>
        <v>-921</v>
      </c>
      <c r="G63">
        <f t="shared" si="9"/>
        <v>-7.2721199998341035E-2</v>
      </c>
      <c r="I63">
        <f>+G63</f>
        <v>-7.2721199998341035E-2</v>
      </c>
      <c r="O63">
        <f t="shared" ca="1" si="6"/>
        <v>5.2826783754381879E-2</v>
      </c>
      <c r="Q63" s="2">
        <f t="shared" si="10"/>
        <v>21093.961000000003</v>
      </c>
    </row>
    <row r="64" spans="1:17" x14ac:dyDescent="0.2">
      <c r="A64" t="s">
        <v>33</v>
      </c>
      <c r="C64" s="6">
        <v>36112.54</v>
      </c>
      <c r="D64" s="6"/>
      <c r="E64">
        <f t="shared" si="7"/>
        <v>-920.99886837941199</v>
      </c>
      <c r="F64">
        <f t="shared" si="8"/>
        <v>-921</v>
      </c>
      <c r="G64">
        <f t="shared" si="9"/>
        <v>6.2787999995634891E-3</v>
      </c>
      <c r="I64">
        <f>+G64</f>
        <v>6.2787999995634891E-3</v>
      </c>
      <c r="O64">
        <f t="shared" ca="1" si="6"/>
        <v>5.2826783754381879E-2</v>
      </c>
      <c r="Q64" s="2">
        <f t="shared" si="10"/>
        <v>21094.04</v>
      </c>
    </row>
    <row r="65" spans="1:17" x14ac:dyDescent="0.2">
      <c r="A65" s="28" t="s">
        <v>205</v>
      </c>
      <c r="B65" s="30" t="s">
        <v>41</v>
      </c>
      <c r="C65" s="29">
        <v>36839.411</v>
      </c>
      <c r="D65" s="6"/>
      <c r="E65">
        <f t="shared" si="7"/>
        <v>-789.99578048334047</v>
      </c>
      <c r="F65">
        <f t="shared" si="8"/>
        <v>-790</v>
      </c>
      <c r="G65">
        <f t="shared" si="9"/>
        <v>2.3412000002281275E-2</v>
      </c>
      <c r="I65">
        <f>+G65</f>
        <v>2.3412000002281275E-2</v>
      </c>
      <c r="O65">
        <f t="shared" ca="1" si="6"/>
        <v>6.9671431463327577E-2</v>
      </c>
      <c r="Q65" s="2">
        <f t="shared" si="10"/>
        <v>21820.911</v>
      </c>
    </row>
    <row r="66" spans="1:17" x14ac:dyDescent="0.2">
      <c r="A66" s="4" t="s">
        <v>35</v>
      </c>
      <c r="B66" s="5"/>
      <c r="C66" s="9">
        <v>37882.491000000002</v>
      </c>
      <c r="D66" s="9" t="s">
        <v>36</v>
      </c>
      <c r="E66">
        <f t="shared" si="7"/>
        <v>-602.0027240501704</v>
      </c>
      <c r="F66">
        <f t="shared" si="8"/>
        <v>-602</v>
      </c>
      <c r="G66">
        <f t="shared" si="9"/>
        <v>-1.5114399997401051E-2</v>
      </c>
      <c r="J66">
        <f>+G66</f>
        <v>-1.5114399997401051E-2</v>
      </c>
      <c r="O66">
        <f t="shared" ca="1" si="6"/>
        <v>9.384542970211987E-2</v>
      </c>
      <c r="Q66" s="2">
        <f t="shared" si="10"/>
        <v>22863.991000000002</v>
      </c>
    </row>
    <row r="67" spans="1:17" x14ac:dyDescent="0.2">
      <c r="A67" s="28" t="s">
        <v>205</v>
      </c>
      <c r="B67" s="30" t="s">
        <v>41</v>
      </c>
      <c r="C67" s="29">
        <v>38315.385000000002</v>
      </c>
      <c r="D67" s="6"/>
      <c r="E67">
        <f t="shared" si="7"/>
        <v>-523.98275801536909</v>
      </c>
      <c r="F67">
        <f t="shared" si="8"/>
        <v>-524</v>
      </c>
      <c r="G67">
        <f t="shared" si="9"/>
        <v>9.5667200002935715E-2</v>
      </c>
      <c r="I67">
        <f t="shared" ref="I67:I72" si="11">+G67</f>
        <v>9.5667200002935715E-2</v>
      </c>
      <c r="O67">
        <f t="shared" ca="1" si="6"/>
        <v>0.10387506726927838</v>
      </c>
      <c r="Q67" s="2">
        <f t="shared" si="10"/>
        <v>23296.885000000002</v>
      </c>
    </row>
    <row r="68" spans="1:17" x14ac:dyDescent="0.2">
      <c r="A68" s="28" t="s">
        <v>221</v>
      </c>
      <c r="B68" s="30" t="s">
        <v>41</v>
      </c>
      <c r="C68" s="29">
        <v>38670.368999999999</v>
      </c>
      <c r="D68" s="6"/>
      <c r="E68">
        <f t="shared" si="7"/>
        <v>-460.00441776833941</v>
      </c>
      <c r="F68">
        <f t="shared" si="8"/>
        <v>-460</v>
      </c>
      <c r="G68">
        <f t="shared" si="9"/>
        <v>-2.4512000003596768E-2</v>
      </c>
      <c r="I68">
        <f t="shared" si="11"/>
        <v>-2.4512000003596768E-2</v>
      </c>
      <c r="O68">
        <f t="shared" ca="1" si="6"/>
        <v>0.11210451347822895</v>
      </c>
      <c r="Q68" s="2">
        <f t="shared" si="10"/>
        <v>23651.868999999999</v>
      </c>
    </row>
    <row r="69" spans="1:17" x14ac:dyDescent="0.2">
      <c r="A69" s="28" t="s">
        <v>205</v>
      </c>
      <c r="B69" s="30" t="s">
        <v>41</v>
      </c>
      <c r="C69" s="29">
        <v>38670.409</v>
      </c>
      <c r="D69" s="6"/>
      <c r="E69">
        <f t="shared" si="7"/>
        <v>-459.99720861634961</v>
      </c>
      <c r="F69">
        <f t="shared" si="8"/>
        <v>-460</v>
      </c>
      <c r="G69">
        <f t="shared" si="9"/>
        <v>1.5487999997276347E-2</v>
      </c>
      <c r="I69">
        <f t="shared" si="11"/>
        <v>1.5487999997276347E-2</v>
      </c>
      <c r="O69">
        <f t="shared" ca="1" si="6"/>
        <v>0.11210451347822895</v>
      </c>
      <c r="Q69" s="2">
        <f t="shared" si="10"/>
        <v>23651.909</v>
      </c>
    </row>
    <row r="70" spans="1:17" x14ac:dyDescent="0.2">
      <c r="A70" s="28" t="s">
        <v>205</v>
      </c>
      <c r="B70" s="30" t="s">
        <v>41</v>
      </c>
      <c r="C70" s="29">
        <v>38709.326000000001</v>
      </c>
      <c r="D70" s="6"/>
      <c r="E70">
        <f t="shared" si="7"/>
        <v>-452.98324441685401</v>
      </c>
      <c r="F70">
        <f t="shared" si="8"/>
        <v>-453</v>
      </c>
      <c r="G70">
        <f t="shared" si="9"/>
        <v>9.296840000024531E-2</v>
      </c>
      <c r="I70">
        <f t="shared" si="11"/>
        <v>9.296840000024531E-2</v>
      </c>
      <c r="O70">
        <f t="shared" ca="1" si="6"/>
        <v>0.11300460915733292</v>
      </c>
      <c r="Q70" s="2">
        <f t="shared" si="10"/>
        <v>23690.826000000001</v>
      </c>
    </row>
    <row r="71" spans="1:17" x14ac:dyDescent="0.2">
      <c r="A71" s="28" t="s">
        <v>205</v>
      </c>
      <c r="B71" s="30" t="s">
        <v>41</v>
      </c>
      <c r="C71" s="29">
        <v>39025.394999999997</v>
      </c>
      <c r="D71" s="6"/>
      <c r="E71">
        <f t="shared" si="7"/>
        <v>-396.01850791172041</v>
      </c>
      <c r="F71">
        <f t="shared" si="8"/>
        <v>-396</v>
      </c>
      <c r="G71">
        <f t="shared" si="9"/>
        <v>-0.10269120000157272</v>
      </c>
      <c r="I71">
        <f t="shared" si="11"/>
        <v>-0.10269120000157272</v>
      </c>
      <c r="O71">
        <f t="shared" ca="1" si="6"/>
        <v>0.12033395968717953</v>
      </c>
      <c r="Q71" s="2">
        <f t="shared" si="10"/>
        <v>24006.894999999997</v>
      </c>
    </row>
    <row r="72" spans="1:17" x14ac:dyDescent="0.2">
      <c r="A72" s="28" t="s">
        <v>205</v>
      </c>
      <c r="B72" s="30" t="s">
        <v>41</v>
      </c>
      <c r="C72" s="29">
        <v>39053.364000000001</v>
      </c>
      <c r="D72" s="6"/>
      <c r="E72">
        <f t="shared" si="7"/>
        <v>-390.97768861178162</v>
      </c>
      <c r="F72">
        <f t="shared" si="8"/>
        <v>-391</v>
      </c>
      <c r="G72">
        <f t="shared" si="9"/>
        <v>0.1237948000052711</v>
      </c>
      <c r="I72">
        <f t="shared" si="11"/>
        <v>0.1237948000052711</v>
      </c>
      <c r="O72">
        <f t="shared" ca="1" si="6"/>
        <v>0.12097688517225377</v>
      </c>
      <c r="Q72" s="2">
        <f t="shared" si="10"/>
        <v>24034.864000000001</v>
      </c>
    </row>
    <row r="73" spans="1:17" x14ac:dyDescent="0.2">
      <c r="A73" s="4" t="s">
        <v>35</v>
      </c>
      <c r="B73" s="5"/>
      <c r="C73" s="9">
        <v>40096.334999999999</v>
      </c>
      <c r="D73" s="9" t="s">
        <v>37</v>
      </c>
      <c r="E73">
        <f t="shared" si="7"/>
        <v>-203.004277117784</v>
      </c>
      <c r="F73">
        <f t="shared" si="8"/>
        <v>-203</v>
      </c>
      <c r="G73">
        <f t="shared" si="9"/>
        <v>-2.3731599998427555E-2</v>
      </c>
      <c r="J73">
        <f>+G73</f>
        <v>-2.3731599998427555E-2</v>
      </c>
      <c r="O73">
        <f t="shared" ca="1" si="6"/>
        <v>0.14515088341104607</v>
      </c>
      <c r="Q73" s="2">
        <f t="shared" si="10"/>
        <v>25077.834999999999</v>
      </c>
    </row>
    <row r="74" spans="1:17" x14ac:dyDescent="0.2">
      <c r="A74" s="28" t="s">
        <v>240</v>
      </c>
      <c r="B74" s="30" t="s">
        <v>41</v>
      </c>
      <c r="C74" s="29">
        <v>40562.430999999997</v>
      </c>
      <c r="D74" s="6"/>
      <c r="E74">
        <f t="shared" si="7"/>
        <v>-119.00035447400381</v>
      </c>
      <c r="F74">
        <f t="shared" si="8"/>
        <v>-119</v>
      </c>
      <c r="G74">
        <f t="shared" si="9"/>
        <v>-1.9668000022647902E-3</v>
      </c>
      <c r="I74">
        <f t="shared" ref="I74:I85" si="12">+G74</f>
        <v>-1.9668000022647902E-3</v>
      </c>
      <c r="O74">
        <f t="shared" ca="1" si="6"/>
        <v>0.15595203156029369</v>
      </c>
      <c r="Q74" s="2">
        <f t="shared" si="10"/>
        <v>25543.930999999997</v>
      </c>
    </row>
    <row r="75" spans="1:17" x14ac:dyDescent="0.2">
      <c r="A75" t="s">
        <v>16</v>
      </c>
      <c r="C75" s="6">
        <v>41222.7048</v>
      </c>
      <c r="D75" s="6" t="s">
        <v>18</v>
      </c>
      <c r="E75">
        <f t="shared" si="7"/>
        <v>0</v>
      </c>
      <c r="F75">
        <f t="shared" si="8"/>
        <v>0</v>
      </c>
      <c r="G75">
        <f t="shared" si="9"/>
        <v>0</v>
      </c>
      <c r="H75">
        <f>+G75</f>
        <v>0</v>
      </c>
      <c r="I75">
        <f t="shared" si="12"/>
        <v>0</v>
      </c>
      <c r="O75">
        <f t="shared" ca="1" si="6"/>
        <v>0.17125365810506116</v>
      </c>
      <c r="Q75" s="2">
        <f t="shared" si="10"/>
        <v>26204.2048</v>
      </c>
    </row>
    <row r="76" spans="1:17" x14ac:dyDescent="0.2">
      <c r="A76" s="28" t="s">
        <v>251</v>
      </c>
      <c r="B76" s="30" t="s">
        <v>41</v>
      </c>
      <c r="C76" s="29">
        <v>42632.046000000002</v>
      </c>
      <c r="D76" s="6"/>
      <c r="E76">
        <f t="shared" si="7"/>
        <v>254.00387290063233</v>
      </c>
      <c r="F76">
        <f t="shared" si="8"/>
        <v>254</v>
      </c>
      <c r="G76">
        <f t="shared" si="9"/>
        <v>2.1488800004590303E-2</v>
      </c>
      <c r="I76">
        <f t="shared" si="12"/>
        <v>2.1488800004590303E-2</v>
      </c>
      <c r="O76">
        <f t="shared" ca="1" si="6"/>
        <v>0.20391427274683371</v>
      </c>
      <c r="Q76" s="2">
        <f t="shared" si="10"/>
        <v>27613.546000000002</v>
      </c>
    </row>
    <row r="77" spans="1:17" x14ac:dyDescent="0.2">
      <c r="A77" s="28" t="s">
        <v>256</v>
      </c>
      <c r="B77" s="30" t="s">
        <v>41</v>
      </c>
      <c r="C77" s="29">
        <v>45994.563999999998</v>
      </c>
      <c r="D77" s="6"/>
      <c r="E77">
        <f t="shared" si="7"/>
        <v>860.02645614597134</v>
      </c>
      <c r="F77">
        <f t="shared" si="8"/>
        <v>860</v>
      </c>
      <c r="G77">
        <f t="shared" si="9"/>
        <v>0.14679199999955017</v>
      </c>
      <c r="I77">
        <f t="shared" si="12"/>
        <v>0.14679199999955017</v>
      </c>
      <c r="O77">
        <f t="shared" ca="1" si="6"/>
        <v>0.28183684153783439</v>
      </c>
      <c r="Q77" s="2">
        <f t="shared" si="10"/>
        <v>30976.063999999998</v>
      </c>
    </row>
    <row r="78" spans="1:17" x14ac:dyDescent="0.2">
      <c r="A78" s="28" t="s">
        <v>256</v>
      </c>
      <c r="B78" s="30" t="s">
        <v>41</v>
      </c>
      <c r="C78" s="29">
        <v>46316.392999999996</v>
      </c>
      <c r="D78" s="6"/>
      <c r="E78">
        <f t="shared" si="7"/>
        <v>918.02931053760972</v>
      </c>
      <c r="F78">
        <f t="shared" si="8"/>
        <v>918</v>
      </c>
      <c r="G78">
        <f t="shared" si="9"/>
        <v>0.16262959999585291</v>
      </c>
      <c r="I78">
        <f t="shared" si="12"/>
        <v>0.16262959999585291</v>
      </c>
      <c r="O78">
        <f t="shared" ca="1" si="6"/>
        <v>0.28929477716469587</v>
      </c>
      <c r="Q78" s="2">
        <f t="shared" si="10"/>
        <v>31297.892999999996</v>
      </c>
    </row>
    <row r="79" spans="1:17" x14ac:dyDescent="0.2">
      <c r="A79" s="28" t="s">
        <v>256</v>
      </c>
      <c r="B79" s="30" t="s">
        <v>41</v>
      </c>
      <c r="C79" s="29">
        <v>46649.317000000003</v>
      </c>
      <c r="D79" s="6"/>
      <c r="E79">
        <f t="shared" si="7"/>
        <v>978.03180346236888</v>
      </c>
      <c r="F79">
        <f t="shared" si="8"/>
        <v>978</v>
      </c>
      <c r="G79">
        <f t="shared" si="9"/>
        <v>0.1764616000073147</v>
      </c>
      <c r="I79">
        <f t="shared" si="12"/>
        <v>0.1764616000073147</v>
      </c>
      <c r="O79">
        <f t="shared" ca="1" si="6"/>
        <v>0.29700988298558706</v>
      </c>
      <c r="Q79" s="2">
        <f t="shared" si="10"/>
        <v>31630.817000000003</v>
      </c>
    </row>
    <row r="80" spans="1:17" x14ac:dyDescent="0.2">
      <c r="A80" s="28" t="s">
        <v>256</v>
      </c>
      <c r="B80" s="30" t="s">
        <v>41</v>
      </c>
      <c r="C80" s="29">
        <v>47442.767</v>
      </c>
      <c r="D80" s="6"/>
      <c r="E80">
        <f t="shared" si="7"/>
        <v>1121.0343446163531</v>
      </c>
      <c r="F80">
        <f t="shared" si="8"/>
        <v>1121</v>
      </c>
      <c r="G80">
        <f t="shared" si="9"/>
        <v>0.19056120000459487</v>
      </c>
      <c r="I80">
        <f t="shared" si="12"/>
        <v>0.19056120000459487</v>
      </c>
      <c r="O80">
        <f t="shared" ca="1" si="6"/>
        <v>0.31539755185871099</v>
      </c>
      <c r="Q80" s="2">
        <f t="shared" si="10"/>
        <v>32424.267</v>
      </c>
    </row>
    <row r="81" spans="1:17" x14ac:dyDescent="0.2">
      <c r="A81" s="28" t="s">
        <v>256</v>
      </c>
      <c r="B81" s="30" t="s">
        <v>41</v>
      </c>
      <c r="C81" s="29">
        <v>47725.775000000001</v>
      </c>
      <c r="D81" s="6"/>
      <c r="E81">
        <f t="shared" si="7"/>
        <v>1172.0405367732719</v>
      </c>
      <c r="F81">
        <f t="shared" si="8"/>
        <v>1172</v>
      </c>
      <c r="G81">
        <f t="shared" si="9"/>
        <v>0.2249184000029345</v>
      </c>
      <c r="I81">
        <f t="shared" si="12"/>
        <v>0.2249184000029345</v>
      </c>
      <c r="O81">
        <f t="shared" ca="1" si="6"/>
        <v>0.32195539180646843</v>
      </c>
      <c r="Q81" s="2">
        <f t="shared" si="10"/>
        <v>32707.275000000001</v>
      </c>
    </row>
    <row r="82" spans="1:17" x14ac:dyDescent="0.2">
      <c r="A82" t="s">
        <v>34</v>
      </c>
      <c r="C82" s="8">
        <v>49229.470999999998</v>
      </c>
      <c r="D82" s="6">
        <v>3.0000000000000001E-3</v>
      </c>
      <c r="E82">
        <f t="shared" si="7"/>
        <v>1443.0498620276444</v>
      </c>
      <c r="F82">
        <f t="shared" si="8"/>
        <v>1443</v>
      </c>
      <c r="G82">
        <f t="shared" si="9"/>
        <v>0.27665960000013001</v>
      </c>
      <c r="I82">
        <f t="shared" si="12"/>
        <v>0.27665960000013001</v>
      </c>
      <c r="J82" s="10"/>
      <c r="O82">
        <f t="shared" ca="1" si="6"/>
        <v>0.35680195309749352</v>
      </c>
      <c r="Q82" s="2">
        <f t="shared" si="10"/>
        <v>34210.970999999998</v>
      </c>
    </row>
    <row r="83" spans="1:17" x14ac:dyDescent="0.2">
      <c r="A83" s="28" t="s">
        <v>256</v>
      </c>
      <c r="B83" s="30" t="s">
        <v>41</v>
      </c>
      <c r="C83" s="29">
        <v>49989.665000000001</v>
      </c>
      <c r="D83" s="6"/>
      <c r="E83">
        <f t="shared" si="7"/>
        <v>1580.0587142174645</v>
      </c>
      <c r="F83">
        <f t="shared" si="8"/>
        <v>1580</v>
      </c>
      <c r="G83">
        <f t="shared" si="9"/>
        <v>0.32577600000513485</v>
      </c>
      <c r="I83">
        <f t="shared" si="12"/>
        <v>0.32577600000513485</v>
      </c>
      <c r="O83">
        <f t="shared" ca="1" si="6"/>
        <v>0.37441811138852832</v>
      </c>
      <c r="Q83" s="2">
        <f t="shared" si="10"/>
        <v>34971.165000000001</v>
      </c>
    </row>
    <row r="84" spans="1:17" x14ac:dyDescent="0.2">
      <c r="A84" s="28" t="s">
        <v>256</v>
      </c>
      <c r="B84" s="30" t="s">
        <v>41</v>
      </c>
      <c r="C84" s="29">
        <v>51426.769</v>
      </c>
      <c r="D84" s="6"/>
      <c r="E84">
        <f t="shared" si="7"/>
        <v>1839.0662432395279</v>
      </c>
      <c r="F84">
        <f t="shared" si="8"/>
        <v>1839</v>
      </c>
      <c r="G84">
        <f t="shared" si="9"/>
        <v>0.36755080000148155</v>
      </c>
      <c r="I84">
        <f t="shared" si="12"/>
        <v>0.36755080000148155</v>
      </c>
      <c r="O84">
        <f t="shared" ca="1" si="6"/>
        <v>0.40772165151537515</v>
      </c>
      <c r="Q84" s="2">
        <f t="shared" si="10"/>
        <v>36408.269</v>
      </c>
    </row>
    <row r="85" spans="1:17" x14ac:dyDescent="0.2">
      <c r="A85" s="28" t="s">
        <v>256</v>
      </c>
      <c r="B85" s="30" t="s">
        <v>41</v>
      </c>
      <c r="C85" s="29">
        <v>53635.156999999999</v>
      </c>
      <c r="D85" s="6"/>
      <c r="E85">
        <f t="shared" ref="E85:E94" si="13">+(C85-C$7)/C$8</f>
        <v>2237.0813618405314</v>
      </c>
      <c r="F85">
        <f t="shared" ref="F85:F116" si="14">ROUND(2*E85,0)/2</f>
        <v>2237</v>
      </c>
      <c r="G85">
        <f t="shared" ref="G85:G116" si="15">+C85-(C$7+F85*C$8)</f>
        <v>0.4514363999987836</v>
      </c>
      <c r="I85">
        <f t="shared" si="12"/>
        <v>0.4514363999987836</v>
      </c>
      <c r="O85">
        <f t="shared" ca="1" si="6"/>
        <v>0.45889852012728649</v>
      </c>
      <c r="Q85" s="2">
        <f t="shared" ref="Q85:Q94" si="16">+C85-15018.5</f>
        <v>38616.656999999999</v>
      </c>
    </row>
    <row r="86" spans="1:17" x14ac:dyDescent="0.2">
      <c r="A86" s="13" t="s">
        <v>40</v>
      </c>
      <c r="B86" s="14" t="s">
        <v>41</v>
      </c>
      <c r="C86" s="13">
        <v>54001.364999999998</v>
      </c>
      <c r="D86" s="13">
        <v>1E-3</v>
      </c>
      <c r="E86">
        <f t="shared" si="13"/>
        <v>2303.0825901358471</v>
      </c>
      <c r="F86">
        <f t="shared" si="14"/>
        <v>2303</v>
      </c>
      <c r="G86">
        <f t="shared" si="15"/>
        <v>0.45825160000094911</v>
      </c>
      <c r="K86">
        <f t="shared" ref="K86:K94" si="17">+G86</f>
        <v>0.45825160000094911</v>
      </c>
      <c r="O86">
        <f t="shared" ca="1" si="6"/>
        <v>0.46738513653026675</v>
      </c>
      <c r="Q86" s="2">
        <f t="shared" si="16"/>
        <v>38982.864999999998</v>
      </c>
    </row>
    <row r="87" spans="1:17" x14ac:dyDescent="0.2">
      <c r="A87" s="31" t="s">
        <v>48</v>
      </c>
      <c r="B87" s="32" t="s">
        <v>41</v>
      </c>
      <c r="C87" s="33">
        <v>54339.835200000001</v>
      </c>
      <c r="D87" s="33">
        <v>8.9999999999999998E-4</v>
      </c>
      <c r="E87">
        <f t="shared" si="13"/>
        <v>2364.0846680297254</v>
      </c>
      <c r="F87">
        <f t="shared" si="14"/>
        <v>2364</v>
      </c>
      <c r="G87">
        <f t="shared" si="15"/>
        <v>0.46978080000553746</v>
      </c>
      <c r="K87">
        <f t="shared" si="17"/>
        <v>0.46978080000553746</v>
      </c>
      <c r="O87">
        <f t="shared" ca="1" si="6"/>
        <v>0.4752288274481728</v>
      </c>
      <c r="Q87" s="2">
        <f t="shared" si="16"/>
        <v>39321.335200000001</v>
      </c>
    </row>
    <row r="88" spans="1:17" x14ac:dyDescent="0.2">
      <c r="A88" s="31" t="s">
        <v>49</v>
      </c>
      <c r="B88" s="32" t="s">
        <v>41</v>
      </c>
      <c r="C88" s="33">
        <v>55438.481299999999</v>
      </c>
      <c r="D88" s="33">
        <v>2.9999999999999997E-4</v>
      </c>
      <c r="E88">
        <f t="shared" si="13"/>
        <v>2562.0923359721473</v>
      </c>
      <c r="F88">
        <f t="shared" si="14"/>
        <v>2562</v>
      </c>
      <c r="G88">
        <f t="shared" si="15"/>
        <v>0.51232639999943785</v>
      </c>
      <c r="K88">
        <f t="shared" si="17"/>
        <v>0.51232639999943785</v>
      </c>
      <c r="O88">
        <f t="shared" ca="1" si="6"/>
        <v>0.50068867665711358</v>
      </c>
      <c r="Q88" s="2">
        <f t="shared" si="16"/>
        <v>40419.981299999999</v>
      </c>
    </row>
    <row r="89" spans="1:17" x14ac:dyDescent="0.2">
      <c r="A89" s="34" t="s">
        <v>0</v>
      </c>
      <c r="B89" s="35" t="s">
        <v>41</v>
      </c>
      <c r="C89" s="36">
        <v>57435.9899</v>
      </c>
      <c r="D89" s="36">
        <v>1E-4</v>
      </c>
      <c r="E89">
        <f t="shared" si="13"/>
        <v>2922.1009134211849</v>
      </c>
      <c r="F89">
        <f t="shared" si="14"/>
        <v>2922</v>
      </c>
      <c r="G89">
        <f t="shared" si="15"/>
        <v>0.55991840000206139</v>
      </c>
      <c r="K89">
        <f t="shared" si="17"/>
        <v>0.55991840000206139</v>
      </c>
      <c r="O89">
        <f t="shared" ca="1" si="6"/>
        <v>0.5469793115824606</v>
      </c>
      <c r="Q89" s="2">
        <f t="shared" si="16"/>
        <v>42417.4899</v>
      </c>
    </row>
    <row r="90" spans="1:17" x14ac:dyDescent="0.2">
      <c r="A90" s="34" t="s">
        <v>0</v>
      </c>
      <c r="B90" s="35" t="s">
        <v>41</v>
      </c>
      <c r="C90" s="36">
        <v>57635.749400000001</v>
      </c>
      <c r="D90" s="36">
        <v>2.0000000000000001E-4</v>
      </c>
      <c r="E90">
        <f t="shared" si="13"/>
        <v>2958.1033283429183</v>
      </c>
      <c r="F90">
        <f t="shared" si="14"/>
        <v>2958</v>
      </c>
      <c r="G90">
        <f t="shared" si="15"/>
        <v>0.57331760000670329</v>
      </c>
      <c r="K90">
        <f t="shared" si="17"/>
        <v>0.57331760000670329</v>
      </c>
      <c r="O90">
        <f t="shared" ca="1" si="6"/>
        <v>0.55160837507499516</v>
      </c>
      <c r="Q90" s="2">
        <f t="shared" si="16"/>
        <v>42617.249400000001</v>
      </c>
    </row>
    <row r="91" spans="1:17" x14ac:dyDescent="0.2">
      <c r="A91" s="37" t="s">
        <v>300</v>
      </c>
      <c r="B91" s="38" t="s">
        <v>41</v>
      </c>
      <c r="C91" s="39">
        <v>58351.512600000002</v>
      </c>
      <c r="D91" s="39">
        <v>1E-4</v>
      </c>
      <c r="E91">
        <f t="shared" si="13"/>
        <v>3087.1044707772344</v>
      </c>
      <c r="F91">
        <f t="shared" si="14"/>
        <v>3087</v>
      </c>
      <c r="G91">
        <f t="shared" si="15"/>
        <v>0.57965640000475105</v>
      </c>
      <c r="K91">
        <f t="shared" si="17"/>
        <v>0.57965640000475105</v>
      </c>
      <c r="O91">
        <f t="shared" ca="1" si="6"/>
        <v>0.56819585258991123</v>
      </c>
      <c r="Q91" s="2">
        <f t="shared" si="16"/>
        <v>43333.012600000002</v>
      </c>
    </row>
    <row r="92" spans="1:17" ht="12" customHeight="1" x14ac:dyDescent="0.2">
      <c r="A92" s="40" t="s">
        <v>301</v>
      </c>
      <c r="B92" s="38" t="s">
        <v>41</v>
      </c>
      <c r="C92" s="39">
        <v>59111.656300000002</v>
      </c>
      <c r="D92" s="39">
        <v>2.0000000000000001E-4</v>
      </c>
      <c r="E92">
        <f t="shared" si="13"/>
        <v>3224.1042574584271</v>
      </c>
      <c r="F92">
        <f t="shared" si="14"/>
        <v>3224</v>
      </c>
      <c r="G92">
        <f t="shared" si="15"/>
        <v>0.57847279999987222</v>
      </c>
      <c r="K92">
        <f t="shared" si="17"/>
        <v>0.57847279999987222</v>
      </c>
      <c r="O92">
        <f t="shared" ca="1" si="6"/>
        <v>0.58581201088094603</v>
      </c>
      <c r="Q92" s="2">
        <f t="shared" si="16"/>
        <v>44093.156300000002</v>
      </c>
    </row>
    <row r="93" spans="1:17" ht="12" customHeight="1" x14ac:dyDescent="0.2">
      <c r="A93" s="40" t="s">
        <v>301</v>
      </c>
      <c r="B93" s="38" t="s">
        <v>41</v>
      </c>
      <c r="C93" s="39">
        <v>59139.399100000002</v>
      </c>
      <c r="D93" s="39">
        <v>2.0000000000000001E-4</v>
      </c>
      <c r="E93">
        <f t="shared" si="13"/>
        <v>3229.1043090038638</v>
      </c>
      <c r="F93">
        <f t="shared" si="14"/>
        <v>3229</v>
      </c>
      <c r="G93">
        <f t="shared" si="15"/>
        <v>0.578758800002106</v>
      </c>
      <c r="K93">
        <f t="shared" si="17"/>
        <v>0.578758800002106</v>
      </c>
      <c r="O93">
        <f t="shared" ca="1" si="6"/>
        <v>0.58645493636602031</v>
      </c>
      <c r="Q93" s="2">
        <f t="shared" si="16"/>
        <v>44120.899100000002</v>
      </c>
    </row>
    <row r="94" spans="1:17" ht="12" customHeight="1" x14ac:dyDescent="0.2">
      <c r="A94" s="42" t="s">
        <v>302</v>
      </c>
      <c r="B94" s="41" t="s">
        <v>41</v>
      </c>
      <c r="C94" s="69">
        <v>59505.595800000003</v>
      </c>
      <c r="D94" s="42">
        <v>5.0000000000000001E-4</v>
      </c>
      <c r="E94">
        <f t="shared" si="13"/>
        <v>3295.103500713743</v>
      </c>
      <c r="F94">
        <f t="shared" si="14"/>
        <v>3295</v>
      </c>
      <c r="G94">
        <f t="shared" si="15"/>
        <v>0.57427400000597117</v>
      </c>
      <c r="K94">
        <f t="shared" si="17"/>
        <v>0.57427400000597117</v>
      </c>
      <c r="O94">
        <f t="shared" ca="1" si="6"/>
        <v>0.59494155276900051</v>
      </c>
      <c r="Q94" s="2">
        <f t="shared" si="16"/>
        <v>44487.095800000003</v>
      </c>
    </row>
    <row r="95" spans="1:17" ht="12" customHeight="1" x14ac:dyDescent="0.2">
      <c r="B95" s="12"/>
      <c r="C95" s="6"/>
      <c r="D95" s="6"/>
    </row>
    <row r="96" spans="1:17" ht="12" customHeight="1" x14ac:dyDescent="0.2">
      <c r="B96" s="12"/>
      <c r="C96" s="6"/>
      <c r="D96" s="6"/>
    </row>
    <row r="97" spans="2:4" ht="12" customHeight="1" x14ac:dyDescent="0.2">
      <c r="B97" s="12"/>
      <c r="C97" s="6"/>
      <c r="D97" s="6"/>
    </row>
    <row r="98" spans="2:4" x14ac:dyDescent="0.2">
      <c r="B98" s="12"/>
      <c r="C98" s="6"/>
      <c r="D98" s="6"/>
    </row>
    <row r="99" spans="2:4" x14ac:dyDescent="0.2">
      <c r="B99" s="12"/>
      <c r="C99" s="6"/>
      <c r="D99" s="6"/>
    </row>
    <row r="100" spans="2:4" x14ac:dyDescent="0.2">
      <c r="B100" s="12"/>
      <c r="C100" s="6"/>
      <c r="D100" s="6"/>
    </row>
    <row r="101" spans="2:4" x14ac:dyDescent="0.2">
      <c r="B101" s="12"/>
      <c r="C101" s="6"/>
      <c r="D101" s="6"/>
    </row>
    <row r="102" spans="2:4" x14ac:dyDescent="0.2">
      <c r="B102" s="12"/>
      <c r="C102" s="6"/>
      <c r="D102" s="6"/>
    </row>
    <row r="103" spans="2:4" x14ac:dyDescent="0.2">
      <c r="B103" s="12"/>
      <c r="C103" s="6"/>
      <c r="D103" s="6"/>
    </row>
    <row r="104" spans="2:4" x14ac:dyDescent="0.2">
      <c r="B104" s="12"/>
      <c r="C104" s="6"/>
      <c r="D104" s="6"/>
    </row>
    <row r="105" spans="2:4" x14ac:dyDescent="0.2">
      <c r="B105" s="12"/>
      <c r="C105" s="6"/>
      <c r="D105" s="6"/>
    </row>
    <row r="106" spans="2:4" x14ac:dyDescent="0.2">
      <c r="B106" s="12"/>
      <c r="C106" s="6"/>
      <c r="D106" s="6"/>
    </row>
    <row r="107" spans="2:4" x14ac:dyDescent="0.2">
      <c r="B107" s="12"/>
      <c r="C107" s="6"/>
      <c r="D107" s="6"/>
    </row>
    <row r="108" spans="2:4" x14ac:dyDescent="0.2">
      <c r="B108" s="12"/>
      <c r="C108" s="6"/>
      <c r="D108" s="6"/>
    </row>
    <row r="109" spans="2:4" x14ac:dyDescent="0.2">
      <c r="B109" s="12"/>
      <c r="C109" s="6"/>
      <c r="D109" s="6"/>
    </row>
    <row r="110" spans="2:4" x14ac:dyDescent="0.2">
      <c r="B110" s="12"/>
      <c r="C110" s="6"/>
      <c r="D110" s="6"/>
    </row>
    <row r="111" spans="2:4" x14ac:dyDescent="0.2">
      <c r="B111" s="12"/>
      <c r="C111" s="6"/>
      <c r="D111" s="6"/>
    </row>
    <row r="112" spans="2:4" x14ac:dyDescent="0.2">
      <c r="B112" s="12"/>
      <c r="C112" s="6"/>
      <c r="D112" s="6"/>
    </row>
    <row r="113" spans="2:4" x14ac:dyDescent="0.2">
      <c r="B113" s="12"/>
      <c r="C113" s="6"/>
      <c r="D113" s="6"/>
    </row>
    <row r="114" spans="2:4" x14ac:dyDescent="0.2">
      <c r="B114" s="12"/>
      <c r="C114" s="6"/>
      <c r="D114" s="6"/>
    </row>
    <row r="115" spans="2:4" x14ac:dyDescent="0.2">
      <c r="B115" s="12"/>
      <c r="C115" s="6"/>
      <c r="D115" s="6"/>
    </row>
    <row r="116" spans="2:4" x14ac:dyDescent="0.2">
      <c r="B116" s="12"/>
      <c r="C116" s="6"/>
      <c r="D116" s="6"/>
    </row>
    <row r="117" spans="2:4" x14ac:dyDescent="0.2">
      <c r="B117" s="12"/>
      <c r="C117" s="6"/>
      <c r="D117" s="6"/>
    </row>
    <row r="118" spans="2:4" x14ac:dyDescent="0.2">
      <c r="B118" s="12"/>
      <c r="C118" s="6"/>
      <c r="D118" s="6"/>
    </row>
    <row r="119" spans="2:4" x14ac:dyDescent="0.2">
      <c r="B119" s="12"/>
      <c r="C119" s="6"/>
      <c r="D119" s="6"/>
    </row>
    <row r="120" spans="2:4" x14ac:dyDescent="0.2">
      <c r="B120" s="12"/>
      <c r="C120" s="6"/>
      <c r="D120" s="6"/>
    </row>
    <row r="121" spans="2:4" x14ac:dyDescent="0.2">
      <c r="B121" s="12"/>
      <c r="C121" s="6"/>
      <c r="D121" s="6"/>
    </row>
    <row r="122" spans="2:4" x14ac:dyDescent="0.2">
      <c r="B122" s="12"/>
      <c r="C122" s="6"/>
      <c r="D122" s="6"/>
    </row>
    <row r="123" spans="2:4" x14ac:dyDescent="0.2">
      <c r="B123" s="12"/>
      <c r="C123" s="6"/>
      <c r="D123" s="6"/>
    </row>
    <row r="124" spans="2:4" x14ac:dyDescent="0.2">
      <c r="B124" s="12"/>
      <c r="C124" s="6"/>
      <c r="D124" s="6"/>
    </row>
    <row r="125" spans="2:4" x14ac:dyDescent="0.2">
      <c r="B125" s="12"/>
      <c r="C125" s="6"/>
      <c r="D125" s="6"/>
    </row>
    <row r="126" spans="2:4" x14ac:dyDescent="0.2">
      <c r="B126" s="12"/>
      <c r="C126" s="6"/>
      <c r="D126" s="6"/>
    </row>
    <row r="127" spans="2:4" x14ac:dyDescent="0.2">
      <c r="B127" s="12"/>
      <c r="C127" s="6"/>
      <c r="D127" s="6"/>
    </row>
    <row r="128" spans="2:4" x14ac:dyDescent="0.2">
      <c r="B128" s="12"/>
      <c r="C128" s="6"/>
      <c r="D128" s="6"/>
    </row>
    <row r="129" spans="2:4" x14ac:dyDescent="0.2">
      <c r="B129" s="12"/>
      <c r="C129" s="6"/>
      <c r="D129" s="6"/>
    </row>
    <row r="130" spans="2:4" x14ac:dyDescent="0.2">
      <c r="B130" s="12"/>
      <c r="C130" s="6"/>
      <c r="D130" s="6"/>
    </row>
    <row r="131" spans="2:4" x14ac:dyDescent="0.2">
      <c r="B131" s="12"/>
      <c r="C131" s="6"/>
      <c r="D131" s="6"/>
    </row>
    <row r="132" spans="2:4" x14ac:dyDescent="0.2">
      <c r="B132" s="12"/>
      <c r="C132" s="6"/>
      <c r="D132" s="6"/>
    </row>
    <row r="133" spans="2:4" x14ac:dyDescent="0.2">
      <c r="B133" s="12"/>
      <c r="C133" s="6"/>
      <c r="D133" s="6"/>
    </row>
    <row r="134" spans="2:4" x14ac:dyDescent="0.2">
      <c r="B134" s="12"/>
      <c r="C134" s="6"/>
      <c r="D134" s="6"/>
    </row>
    <row r="135" spans="2:4" x14ac:dyDescent="0.2">
      <c r="B135" s="12"/>
      <c r="C135" s="6"/>
      <c r="D135" s="6"/>
    </row>
    <row r="136" spans="2:4" x14ac:dyDescent="0.2">
      <c r="B136" s="12"/>
      <c r="C136" s="6"/>
      <c r="D136" s="6"/>
    </row>
    <row r="137" spans="2:4" x14ac:dyDescent="0.2">
      <c r="B137" s="12"/>
      <c r="C137" s="6"/>
      <c r="D137" s="6"/>
    </row>
    <row r="138" spans="2:4" x14ac:dyDescent="0.2">
      <c r="B138" s="12"/>
      <c r="C138" s="6"/>
      <c r="D138" s="6"/>
    </row>
    <row r="139" spans="2:4" x14ac:dyDescent="0.2">
      <c r="B139" s="12"/>
      <c r="C139" s="6"/>
      <c r="D139" s="6"/>
    </row>
    <row r="140" spans="2:4" x14ac:dyDescent="0.2">
      <c r="B140" s="12"/>
      <c r="C140" s="6"/>
      <c r="D140" s="6"/>
    </row>
    <row r="141" spans="2:4" x14ac:dyDescent="0.2">
      <c r="B141" s="12"/>
      <c r="C141" s="6"/>
      <c r="D141" s="6"/>
    </row>
    <row r="142" spans="2:4" x14ac:dyDescent="0.2">
      <c r="B142" s="12"/>
      <c r="C142" s="6"/>
      <c r="D142" s="6"/>
    </row>
    <row r="143" spans="2:4" x14ac:dyDescent="0.2">
      <c r="B143" s="12"/>
      <c r="C143" s="6"/>
      <c r="D143" s="6"/>
    </row>
    <row r="144" spans="2:4" x14ac:dyDescent="0.2">
      <c r="B144" s="12"/>
      <c r="C144" s="6"/>
      <c r="D144" s="6"/>
    </row>
    <row r="145" spans="2:4" x14ac:dyDescent="0.2">
      <c r="B145" s="12"/>
      <c r="C145" s="6"/>
      <c r="D145" s="6"/>
    </row>
    <row r="146" spans="2:4" x14ac:dyDescent="0.2">
      <c r="B146" s="12"/>
      <c r="C146" s="6"/>
      <c r="D146" s="6"/>
    </row>
    <row r="147" spans="2:4" x14ac:dyDescent="0.2">
      <c r="B147" s="12"/>
      <c r="C147" s="6"/>
      <c r="D147" s="6"/>
    </row>
    <row r="148" spans="2:4" x14ac:dyDescent="0.2">
      <c r="B148" s="12"/>
      <c r="C148" s="6"/>
      <c r="D148" s="6"/>
    </row>
    <row r="149" spans="2:4" x14ac:dyDescent="0.2">
      <c r="B149" s="12"/>
      <c r="C149" s="6"/>
      <c r="D149" s="6"/>
    </row>
    <row r="150" spans="2:4" x14ac:dyDescent="0.2">
      <c r="B150" s="12"/>
      <c r="C150" s="6"/>
      <c r="D150" s="6"/>
    </row>
    <row r="151" spans="2:4" x14ac:dyDescent="0.2">
      <c r="B151" s="12"/>
      <c r="C151" s="6"/>
      <c r="D151" s="6"/>
    </row>
    <row r="152" spans="2:4" x14ac:dyDescent="0.2">
      <c r="B152" s="12"/>
      <c r="C152" s="6"/>
      <c r="D152" s="6"/>
    </row>
    <row r="153" spans="2:4" x14ac:dyDescent="0.2">
      <c r="B153" s="12"/>
      <c r="C153" s="6"/>
      <c r="D153" s="6"/>
    </row>
    <row r="154" spans="2:4" x14ac:dyDescent="0.2">
      <c r="B154" s="12"/>
      <c r="C154" s="6"/>
      <c r="D154" s="6"/>
    </row>
    <row r="155" spans="2:4" x14ac:dyDescent="0.2">
      <c r="B155" s="12"/>
      <c r="C155" s="6"/>
      <c r="D155" s="6"/>
    </row>
    <row r="156" spans="2:4" x14ac:dyDescent="0.2">
      <c r="B156" s="12"/>
      <c r="C156" s="6"/>
      <c r="D156" s="6"/>
    </row>
    <row r="157" spans="2:4" x14ac:dyDescent="0.2">
      <c r="B157" s="12"/>
      <c r="C157" s="6"/>
      <c r="D157" s="6"/>
    </row>
    <row r="158" spans="2:4" x14ac:dyDescent="0.2">
      <c r="B158" s="12"/>
      <c r="C158" s="6"/>
      <c r="D158" s="6"/>
    </row>
    <row r="159" spans="2:4" x14ac:dyDescent="0.2">
      <c r="B159" s="12"/>
      <c r="C159" s="6"/>
      <c r="D159" s="6"/>
    </row>
    <row r="160" spans="2:4" x14ac:dyDescent="0.2">
      <c r="B160" s="12"/>
      <c r="C160" s="6"/>
      <c r="D160" s="6"/>
    </row>
    <row r="161" spans="2:4" x14ac:dyDescent="0.2">
      <c r="B161" s="12"/>
      <c r="C161" s="6"/>
      <c r="D161" s="6"/>
    </row>
    <row r="162" spans="2:4" x14ac:dyDescent="0.2">
      <c r="B162" s="12"/>
      <c r="C162" s="6"/>
      <c r="D162" s="6"/>
    </row>
    <row r="163" spans="2:4" x14ac:dyDescent="0.2">
      <c r="B163" s="12"/>
      <c r="C163" s="6"/>
      <c r="D163" s="6"/>
    </row>
    <row r="164" spans="2:4" x14ac:dyDescent="0.2">
      <c r="B164" s="12"/>
      <c r="C164" s="6"/>
      <c r="D164" s="6"/>
    </row>
    <row r="165" spans="2:4" x14ac:dyDescent="0.2">
      <c r="B165" s="12"/>
      <c r="C165" s="6"/>
      <c r="D165" s="6"/>
    </row>
    <row r="166" spans="2:4" x14ac:dyDescent="0.2">
      <c r="B166" s="12"/>
      <c r="C166" s="6"/>
      <c r="D166" s="6"/>
    </row>
    <row r="167" spans="2:4" x14ac:dyDescent="0.2">
      <c r="B167" s="12"/>
      <c r="C167" s="6"/>
      <c r="D167" s="6"/>
    </row>
    <row r="168" spans="2:4" x14ac:dyDescent="0.2">
      <c r="B168" s="12"/>
      <c r="C168" s="6"/>
      <c r="D168" s="6"/>
    </row>
    <row r="169" spans="2:4" x14ac:dyDescent="0.2">
      <c r="B169" s="12"/>
      <c r="C169" s="6"/>
      <c r="D169" s="6"/>
    </row>
    <row r="170" spans="2:4" x14ac:dyDescent="0.2">
      <c r="B170" s="12"/>
      <c r="C170" s="6"/>
      <c r="D170" s="6"/>
    </row>
    <row r="171" spans="2:4" x14ac:dyDescent="0.2">
      <c r="B171" s="12"/>
      <c r="C171" s="6"/>
      <c r="D171" s="6"/>
    </row>
    <row r="172" spans="2:4" x14ac:dyDescent="0.2">
      <c r="B172" s="12"/>
      <c r="C172" s="6"/>
      <c r="D172" s="6"/>
    </row>
    <row r="173" spans="2:4" x14ac:dyDescent="0.2">
      <c r="B173" s="12"/>
      <c r="C173" s="6"/>
      <c r="D173" s="6"/>
    </row>
    <row r="174" spans="2:4" x14ac:dyDescent="0.2">
      <c r="B174" s="12"/>
      <c r="C174" s="6"/>
      <c r="D174" s="6"/>
    </row>
    <row r="175" spans="2:4" x14ac:dyDescent="0.2">
      <c r="B175" s="12"/>
      <c r="C175" s="6"/>
      <c r="D175" s="6"/>
    </row>
    <row r="176" spans="2:4" x14ac:dyDescent="0.2">
      <c r="B176" s="12"/>
      <c r="C176" s="6"/>
      <c r="D176" s="6"/>
    </row>
    <row r="177" spans="2:4" x14ac:dyDescent="0.2">
      <c r="B177" s="12"/>
      <c r="C177" s="6"/>
      <c r="D177" s="6"/>
    </row>
    <row r="178" spans="2:4" x14ac:dyDescent="0.2">
      <c r="B178" s="12"/>
      <c r="C178" s="6"/>
      <c r="D178" s="6"/>
    </row>
    <row r="179" spans="2:4" x14ac:dyDescent="0.2">
      <c r="B179" s="12"/>
      <c r="C179" s="6"/>
      <c r="D179" s="6"/>
    </row>
    <row r="180" spans="2:4" x14ac:dyDescent="0.2">
      <c r="B180" s="12"/>
      <c r="C180" s="6"/>
      <c r="D180" s="6"/>
    </row>
    <row r="181" spans="2:4" x14ac:dyDescent="0.2">
      <c r="B181" s="12"/>
      <c r="C181" s="6"/>
      <c r="D181" s="6"/>
    </row>
    <row r="182" spans="2:4" x14ac:dyDescent="0.2">
      <c r="B182" s="12"/>
      <c r="C182" s="6"/>
      <c r="D182" s="6"/>
    </row>
    <row r="183" spans="2:4" x14ac:dyDescent="0.2">
      <c r="B183" s="12"/>
      <c r="C183" s="6"/>
      <c r="D183" s="6"/>
    </row>
    <row r="184" spans="2:4" x14ac:dyDescent="0.2">
      <c r="B184" s="12"/>
      <c r="C184" s="6"/>
      <c r="D184" s="6"/>
    </row>
    <row r="185" spans="2:4" x14ac:dyDescent="0.2">
      <c r="B185" s="12"/>
      <c r="C185" s="6"/>
      <c r="D185" s="6"/>
    </row>
    <row r="186" spans="2:4" x14ac:dyDescent="0.2">
      <c r="B186" s="12"/>
      <c r="C186" s="6"/>
      <c r="D186" s="6"/>
    </row>
    <row r="187" spans="2:4" x14ac:dyDescent="0.2">
      <c r="B187" s="12"/>
      <c r="C187" s="6"/>
      <c r="D187" s="6"/>
    </row>
    <row r="188" spans="2:4" x14ac:dyDescent="0.2">
      <c r="B188" s="12"/>
      <c r="C188" s="6"/>
      <c r="D188" s="6"/>
    </row>
    <row r="189" spans="2:4" x14ac:dyDescent="0.2">
      <c r="B189" s="12"/>
      <c r="C189" s="6"/>
      <c r="D189" s="6"/>
    </row>
    <row r="190" spans="2:4" x14ac:dyDescent="0.2">
      <c r="B190" s="12"/>
      <c r="C190" s="6"/>
      <c r="D190" s="6"/>
    </row>
    <row r="191" spans="2:4" x14ac:dyDescent="0.2">
      <c r="B191" s="12"/>
      <c r="C191" s="6"/>
      <c r="D191" s="6"/>
    </row>
    <row r="192" spans="2:4" x14ac:dyDescent="0.2">
      <c r="B192" s="12"/>
      <c r="C192" s="6"/>
      <c r="D192" s="6"/>
    </row>
    <row r="193" spans="2:4" x14ac:dyDescent="0.2">
      <c r="B193" s="12"/>
      <c r="C193" s="6"/>
      <c r="D193" s="6"/>
    </row>
    <row r="194" spans="2:4" x14ac:dyDescent="0.2">
      <c r="B194" s="12"/>
      <c r="C194" s="6"/>
      <c r="D194" s="6"/>
    </row>
    <row r="195" spans="2:4" x14ac:dyDescent="0.2">
      <c r="B195" s="12"/>
      <c r="C195" s="6"/>
      <c r="D195" s="6"/>
    </row>
    <row r="196" spans="2:4" x14ac:dyDescent="0.2">
      <c r="B196" s="12"/>
      <c r="C196" s="6"/>
      <c r="D196" s="6"/>
    </row>
    <row r="197" spans="2:4" x14ac:dyDescent="0.2">
      <c r="B197" s="12"/>
      <c r="C197" s="6"/>
      <c r="D197" s="6"/>
    </row>
    <row r="198" spans="2:4" x14ac:dyDescent="0.2">
      <c r="B198" s="12"/>
      <c r="C198" s="6"/>
      <c r="D198" s="6"/>
    </row>
    <row r="199" spans="2:4" x14ac:dyDescent="0.2">
      <c r="B199" s="12"/>
      <c r="C199" s="6"/>
      <c r="D199" s="6"/>
    </row>
    <row r="200" spans="2:4" x14ac:dyDescent="0.2">
      <c r="B200" s="12"/>
      <c r="C200" s="6"/>
      <c r="D200" s="6"/>
    </row>
    <row r="201" spans="2:4" x14ac:dyDescent="0.2">
      <c r="B201" s="12"/>
      <c r="C201" s="6"/>
      <c r="D201" s="6"/>
    </row>
    <row r="202" spans="2:4" x14ac:dyDescent="0.2">
      <c r="B202" s="12"/>
      <c r="C202" s="6"/>
      <c r="D202" s="6"/>
    </row>
    <row r="203" spans="2:4" x14ac:dyDescent="0.2">
      <c r="B203" s="12"/>
      <c r="C203" s="6"/>
      <c r="D203" s="6"/>
    </row>
    <row r="204" spans="2:4" x14ac:dyDescent="0.2">
      <c r="B204" s="12"/>
      <c r="C204" s="6"/>
      <c r="D204" s="6"/>
    </row>
    <row r="205" spans="2:4" x14ac:dyDescent="0.2">
      <c r="B205" s="12"/>
      <c r="C205" s="6"/>
      <c r="D205" s="6"/>
    </row>
    <row r="206" spans="2:4" x14ac:dyDescent="0.2">
      <c r="B206" s="12"/>
      <c r="C206" s="6"/>
      <c r="D206" s="6"/>
    </row>
    <row r="207" spans="2:4" x14ac:dyDescent="0.2">
      <c r="B207" s="12"/>
      <c r="C207" s="6"/>
      <c r="D207" s="6"/>
    </row>
    <row r="208" spans="2:4" x14ac:dyDescent="0.2">
      <c r="B208" s="12"/>
      <c r="C208" s="6"/>
      <c r="D208" s="6"/>
    </row>
    <row r="209" spans="2:4" x14ac:dyDescent="0.2">
      <c r="B209" s="12"/>
      <c r="C209" s="6"/>
      <c r="D209" s="6"/>
    </row>
    <row r="210" spans="2:4" x14ac:dyDescent="0.2">
      <c r="B210" s="12"/>
      <c r="C210" s="6"/>
      <c r="D210" s="6"/>
    </row>
    <row r="211" spans="2:4" x14ac:dyDescent="0.2">
      <c r="B211" s="12"/>
      <c r="C211" s="6"/>
      <c r="D211" s="6"/>
    </row>
    <row r="212" spans="2:4" x14ac:dyDescent="0.2">
      <c r="B212" s="12"/>
      <c r="C212" s="6"/>
      <c r="D212" s="6"/>
    </row>
    <row r="213" spans="2:4" x14ac:dyDescent="0.2">
      <c r="B213" s="12"/>
      <c r="C213" s="6"/>
      <c r="D213" s="6"/>
    </row>
    <row r="214" spans="2:4" x14ac:dyDescent="0.2">
      <c r="B214" s="12"/>
      <c r="C214" s="6"/>
      <c r="D214" s="6"/>
    </row>
    <row r="215" spans="2:4" x14ac:dyDescent="0.2">
      <c r="B215" s="12"/>
      <c r="C215" s="6"/>
      <c r="D215" s="6"/>
    </row>
    <row r="216" spans="2:4" x14ac:dyDescent="0.2">
      <c r="B216" s="12"/>
      <c r="C216" s="6"/>
      <c r="D216" s="6"/>
    </row>
    <row r="217" spans="2:4" x14ac:dyDescent="0.2">
      <c r="B217" s="12"/>
      <c r="C217" s="6"/>
      <c r="D217" s="6"/>
    </row>
    <row r="218" spans="2:4" x14ac:dyDescent="0.2">
      <c r="B218" s="12"/>
      <c r="C218" s="6"/>
      <c r="D218" s="6"/>
    </row>
    <row r="219" spans="2:4" x14ac:dyDescent="0.2">
      <c r="B219" s="12"/>
      <c r="C219" s="6"/>
      <c r="D219" s="6"/>
    </row>
    <row r="220" spans="2:4" x14ac:dyDescent="0.2">
      <c r="B220" s="12"/>
      <c r="C220" s="6"/>
      <c r="D220" s="6"/>
    </row>
    <row r="221" spans="2:4" x14ac:dyDescent="0.2">
      <c r="B221" s="12"/>
      <c r="C221" s="6"/>
      <c r="D221" s="6"/>
    </row>
    <row r="222" spans="2:4" x14ac:dyDescent="0.2">
      <c r="B222" s="12"/>
      <c r="C222" s="6"/>
      <c r="D222" s="6"/>
    </row>
    <row r="223" spans="2:4" x14ac:dyDescent="0.2">
      <c r="B223" s="12"/>
      <c r="C223" s="6"/>
      <c r="D223" s="6"/>
    </row>
    <row r="224" spans="2:4" x14ac:dyDescent="0.2">
      <c r="B224" s="12"/>
      <c r="C224" s="6"/>
      <c r="D224" s="6"/>
    </row>
    <row r="225" spans="2:4" x14ac:dyDescent="0.2">
      <c r="B225" s="12"/>
      <c r="C225" s="6"/>
      <c r="D225" s="6"/>
    </row>
    <row r="226" spans="2:4" x14ac:dyDescent="0.2">
      <c r="B226" s="12"/>
      <c r="C226" s="6"/>
      <c r="D226" s="6"/>
    </row>
    <row r="227" spans="2:4" x14ac:dyDescent="0.2">
      <c r="B227" s="12"/>
      <c r="C227" s="6"/>
      <c r="D227" s="6"/>
    </row>
    <row r="228" spans="2:4" x14ac:dyDescent="0.2">
      <c r="B228" s="12"/>
      <c r="C228" s="6"/>
      <c r="D228" s="6"/>
    </row>
    <row r="229" spans="2:4" x14ac:dyDescent="0.2">
      <c r="B229" s="12"/>
      <c r="C229" s="6"/>
      <c r="D229" s="6"/>
    </row>
    <row r="230" spans="2:4" x14ac:dyDescent="0.2">
      <c r="B230" s="12"/>
      <c r="C230" s="6"/>
      <c r="D230" s="6"/>
    </row>
    <row r="231" spans="2:4" x14ac:dyDescent="0.2">
      <c r="B231" s="12"/>
      <c r="C231" s="6"/>
      <c r="D231" s="6"/>
    </row>
    <row r="232" spans="2:4" x14ac:dyDescent="0.2">
      <c r="B232" s="12"/>
      <c r="C232" s="6"/>
      <c r="D232" s="6"/>
    </row>
    <row r="233" spans="2:4" x14ac:dyDescent="0.2">
      <c r="B233" s="12"/>
      <c r="C233" s="6"/>
      <c r="D233" s="6"/>
    </row>
    <row r="234" spans="2:4" x14ac:dyDescent="0.2">
      <c r="B234" s="12"/>
      <c r="C234" s="6"/>
      <c r="D234" s="6"/>
    </row>
    <row r="235" spans="2:4" x14ac:dyDescent="0.2">
      <c r="B235" s="12"/>
      <c r="C235" s="6"/>
      <c r="D235" s="6"/>
    </row>
    <row r="236" spans="2:4" x14ac:dyDescent="0.2">
      <c r="B236" s="12"/>
      <c r="C236" s="6"/>
      <c r="D236" s="6"/>
    </row>
    <row r="237" spans="2:4" x14ac:dyDescent="0.2">
      <c r="B237" s="12"/>
      <c r="C237" s="6"/>
      <c r="D237" s="6"/>
    </row>
    <row r="238" spans="2:4" x14ac:dyDescent="0.2">
      <c r="B238" s="12"/>
      <c r="C238" s="6"/>
      <c r="D238" s="6"/>
    </row>
    <row r="239" spans="2:4" x14ac:dyDescent="0.2">
      <c r="B239" s="12"/>
      <c r="C239" s="6"/>
      <c r="D239" s="6"/>
    </row>
    <row r="240" spans="2:4" x14ac:dyDescent="0.2">
      <c r="B240" s="12"/>
      <c r="C240" s="6"/>
      <c r="D240" s="6"/>
    </row>
    <row r="241" spans="2:4" x14ac:dyDescent="0.2">
      <c r="B241" s="12"/>
      <c r="C241" s="6"/>
      <c r="D241" s="6"/>
    </row>
    <row r="242" spans="2:4" x14ac:dyDescent="0.2">
      <c r="B242" s="12"/>
      <c r="C242" s="6"/>
      <c r="D242" s="6"/>
    </row>
    <row r="243" spans="2:4" x14ac:dyDescent="0.2">
      <c r="B243" s="12"/>
      <c r="C243" s="6"/>
      <c r="D243" s="6"/>
    </row>
    <row r="244" spans="2:4" x14ac:dyDescent="0.2">
      <c r="B244" s="12"/>
      <c r="C244" s="6"/>
      <c r="D244" s="6"/>
    </row>
    <row r="245" spans="2:4" x14ac:dyDescent="0.2">
      <c r="B245" s="12"/>
      <c r="C245" s="6"/>
      <c r="D245" s="6"/>
    </row>
    <row r="246" spans="2:4" x14ac:dyDescent="0.2">
      <c r="B246" s="12"/>
      <c r="C246" s="6"/>
      <c r="D246" s="6"/>
    </row>
    <row r="247" spans="2:4" x14ac:dyDescent="0.2">
      <c r="B247" s="12"/>
      <c r="C247" s="6"/>
      <c r="D247" s="6"/>
    </row>
    <row r="248" spans="2:4" x14ac:dyDescent="0.2">
      <c r="B248" s="12"/>
      <c r="C248" s="6"/>
      <c r="D248" s="6"/>
    </row>
    <row r="249" spans="2:4" x14ac:dyDescent="0.2">
      <c r="B249" s="12"/>
      <c r="C249" s="6"/>
      <c r="D249" s="6"/>
    </row>
    <row r="250" spans="2:4" x14ac:dyDescent="0.2">
      <c r="B250" s="12"/>
      <c r="C250" s="6"/>
      <c r="D250" s="6"/>
    </row>
    <row r="251" spans="2:4" x14ac:dyDescent="0.2">
      <c r="B251" s="12"/>
      <c r="C251" s="6"/>
      <c r="D251" s="6"/>
    </row>
    <row r="252" spans="2:4" x14ac:dyDescent="0.2">
      <c r="B252" s="12"/>
      <c r="C252" s="6"/>
      <c r="D252" s="6"/>
    </row>
    <row r="253" spans="2:4" x14ac:dyDescent="0.2">
      <c r="B253" s="12"/>
      <c r="C253" s="6"/>
      <c r="D253" s="6"/>
    </row>
    <row r="254" spans="2:4" x14ac:dyDescent="0.2">
      <c r="B254" s="12"/>
      <c r="C254" s="6"/>
      <c r="D254" s="6"/>
    </row>
    <row r="255" spans="2:4" x14ac:dyDescent="0.2">
      <c r="C255" s="6"/>
      <c r="D255" s="6"/>
    </row>
    <row r="256" spans="2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</sheetData>
  <protectedRanges>
    <protectedRange sqref="A91:D91" name="Range1"/>
  </protectedRanges>
  <sortState xmlns:xlrd2="http://schemas.microsoft.com/office/spreadsheetml/2017/richdata2" ref="A21:Q94">
    <sortCondition ref="C21:C94"/>
  </sortState>
  <phoneticPr fontId="8" type="noConversion"/>
  <hyperlinks>
    <hyperlink ref="H63617" r:id="rId1" display="http://vsolj.cetus-net.org/bulletin.html" xr:uid="{00000000-0004-0000-0000-000000000000}"/>
    <hyperlink ref="H63610" r:id="rId2" display="https://www.aavso.org/ejaavso" xr:uid="{00000000-0004-0000-0000-000001000000}"/>
    <hyperlink ref="AP476" r:id="rId3" display="http://cdsbib.u-strasbg.fr/cgi-bin/cdsbib?1990RMxAA..21..381G" xr:uid="{00000000-0004-0000-0000-000002000000}"/>
    <hyperlink ref="AP473" r:id="rId4" display="http://cdsbib.u-strasbg.fr/cgi-bin/cdsbib?1990RMxAA..21..381G" xr:uid="{00000000-0004-0000-0000-000003000000}"/>
    <hyperlink ref="AP475" r:id="rId5" display="http://cdsbib.u-strasbg.fr/cgi-bin/cdsbib?1990RMxAA..21..381G" xr:uid="{00000000-0004-0000-0000-000004000000}"/>
    <hyperlink ref="AP451" r:id="rId6" display="http://cdsbib.u-strasbg.fr/cgi-bin/cdsbib?1990RMxAA..21..381G" xr:uid="{00000000-0004-0000-0000-000005000000}"/>
    <hyperlink ref="I63617" r:id="rId7" display="http://vsolj.cetus-net.org/bulletin.html" xr:uid="{00000000-0004-0000-0000-000006000000}"/>
    <hyperlink ref="AQ612" r:id="rId8" display="http://cdsbib.u-strasbg.fr/cgi-bin/cdsbib?1990RMxAA..21..381G" xr:uid="{00000000-0004-0000-0000-000007000000}"/>
    <hyperlink ref="AQ2256" r:id="rId9" display="http://cdsbib.u-strasbg.fr/cgi-bin/cdsbib?1990RMxAA..21..381G" xr:uid="{00000000-0004-0000-0000-000008000000}"/>
    <hyperlink ref="AQ613" r:id="rId10" display="http://cdsbib.u-strasbg.fr/cgi-bin/cdsbib?1990RMxAA..21..381G" xr:uid="{00000000-0004-0000-0000-000009000000}"/>
    <hyperlink ref="H63614" r:id="rId11" display="https://www.aavso.org/ejaavso" xr:uid="{00000000-0004-0000-0000-00000A000000}"/>
    <hyperlink ref="H1463" r:id="rId12" display="http://vsolj.cetus-net.org/bulletin.html" xr:uid="{00000000-0004-0000-0000-00000B000000}"/>
    <hyperlink ref="AP4701" r:id="rId13" display="http://cdsbib.u-strasbg.fr/cgi-bin/cdsbib?1990RMxAA..21..381G" xr:uid="{00000000-0004-0000-0000-00000C000000}"/>
    <hyperlink ref="AP4704" r:id="rId14" display="http://cdsbib.u-strasbg.fr/cgi-bin/cdsbib?1990RMxAA..21..381G" xr:uid="{00000000-0004-0000-0000-00000D000000}"/>
    <hyperlink ref="AP4702" r:id="rId15" display="http://cdsbib.u-strasbg.fr/cgi-bin/cdsbib?1990RMxAA..21..381G" xr:uid="{00000000-0004-0000-0000-00000E000000}"/>
    <hyperlink ref="AP4680" r:id="rId16" display="http://cdsbib.u-strasbg.fr/cgi-bin/cdsbib?1990RMxAA..21..381G" xr:uid="{00000000-0004-0000-0000-00000F000000}"/>
    <hyperlink ref="I1463" r:id="rId17" display="http://vsolj.cetus-net.org/bulletin.html" xr:uid="{00000000-0004-0000-0000-000010000000}"/>
    <hyperlink ref="AQ4814" r:id="rId18" display="http://cdsbib.u-strasbg.fr/cgi-bin/cdsbib?1990RMxAA..21..381G" xr:uid="{00000000-0004-0000-0000-000011000000}"/>
    <hyperlink ref="AQ64894" r:id="rId19" display="http://cdsbib.u-strasbg.fr/cgi-bin/cdsbib?1990RMxAA..21..381G" xr:uid="{00000000-0004-0000-0000-000012000000}"/>
    <hyperlink ref="AQ481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3"/>
  <sheetViews>
    <sheetView topLeftCell="A44" workbookViewId="0">
      <selection activeCell="A21" sqref="A21:C77"/>
    </sheetView>
  </sheetViews>
  <sheetFormatPr defaultRowHeight="12.75" x14ac:dyDescent="0.2"/>
  <cols>
    <col min="1" max="1" width="19.7109375" style="6" customWidth="1"/>
    <col min="2" max="2" width="4.42578125" style="11" customWidth="1"/>
    <col min="3" max="3" width="12.7109375" style="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5" t="s">
        <v>52</v>
      </c>
      <c r="I1" s="16" t="s">
        <v>53</v>
      </c>
      <c r="J1" s="17" t="s">
        <v>54</v>
      </c>
    </row>
    <row r="2" spans="1:16" x14ac:dyDescent="0.2">
      <c r="I2" s="18" t="s">
        <v>55</v>
      </c>
      <c r="J2" s="19" t="s">
        <v>56</v>
      </c>
    </row>
    <row r="3" spans="1:16" x14ac:dyDescent="0.2">
      <c r="A3" s="20" t="s">
        <v>57</v>
      </c>
      <c r="I3" s="18" t="s">
        <v>58</v>
      </c>
      <c r="J3" s="19" t="s">
        <v>36</v>
      </c>
    </row>
    <row r="4" spans="1:16" x14ac:dyDescent="0.2">
      <c r="I4" s="18" t="s">
        <v>59</v>
      </c>
      <c r="J4" s="19" t="s">
        <v>36</v>
      </c>
    </row>
    <row r="5" spans="1:16" ht="13.5" thickBot="1" x14ac:dyDescent="0.25">
      <c r="I5" s="21" t="s">
        <v>60</v>
      </c>
      <c r="J5" s="22" t="s">
        <v>37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 AJ 62.373 </v>
      </c>
      <c r="B11" s="12" t="str">
        <f t="shared" ref="B11:B42" si="1">IF(H11=INT(H11),"I","II")</f>
        <v>I</v>
      </c>
      <c r="C11" s="6">
        <f t="shared" ref="C11:C42" si="2">1*G11</f>
        <v>33565.771000000001</v>
      </c>
      <c r="D11" s="11" t="str">
        <f t="shared" ref="D11:D42" si="3">VLOOKUP(F11,I$1:J$5,2,FALSE)</f>
        <v>vis</v>
      </c>
      <c r="E11" s="23">
        <f>VLOOKUP(C11,Active!C$21:E$971,3,FALSE)</f>
        <v>-1379.9999884653566</v>
      </c>
      <c r="F11" s="12" t="s">
        <v>60</v>
      </c>
      <c r="G11" s="11" t="str">
        <f t="shared" ref="G11:G42" si="4">MID(I11,3,LEN(I11)-3)</f>
        <v>33565.771</v>
      </c>
      <c r="H11" s="6">
        <f t="shared" ref="H11:H42" si="5">1*K11</f>
        <v>-1380</v>
      </c>
      <c r="I11" s="24" t="s">
        <v>155</v>
      </c>
      <c r="J11" s="25" t="s">
        <v>156</v>
      </c>
      <c r="K11" s="24">
        <v>-1380</v>
      </c>
      <c r="L11" s="24" t="s">
        <v>157</v>
      </c>
      <c r="M11" s="25" t="s">
        <v>62</v>
      </c>
      <c r="N11" s="25"/>
      <c r="O11" s="26" t="s">
        <v>136</v>
      </c>
      <c r="P11" s="26" t="s">
        <v>141</v>
      </c>
    </row>
    <row r="12" spans="1:16" ht="12.75" customHeight="1" thickBot="1" x14ac:dyDescent="0.25">
      <c r="A12" s="6" t="str">
        <f t="shared" si="0"/>
        <v> AJ 64.262 </v>
      </c>
      <c r="B12" s="12" t="str">
        <f t="shared" si="1"/>
        <v>I</v>
      </c>
      <c r="C12" s="6">
        <f t="shared" si="2"/>
        <v>36073.701000000001</v>
      </c>
      <c r="D12" s="11" t="str">
        <f t="shared" si="3"/>
        <v>vis</v>
      </c>
      <c r="E12" s="23">
        <f>VLOOKUP(C12,Active!C$21:E$971,3,FALSE)</f>
        <v>-927.99877473252764</v>
      </c>
      <c r="F12" s="12" t="s">
        <v>60</v>
      </c>
      <c r="G12" s="11" t="str">
        <f t="shared" si="4"/>
        <v>36073.701</v>
      </c>
      <c r="H12" s="6">
        <f t="shared" si="5"/>
        <v>-928</v>
      </c>
      <c r="I12" s="24" t="s">
        <v>198</v>
      </c>
      <c r="J12" s="25" t="s">
        <v>199</v>
      </c>
      <c r="K12" s="24">
        <v>-928</v>
      </c>
      <c r="L12" s="24" t="s">
        <v>186</v>
      </c>
      <c r="M12" s="25" t="s">
        <v>62</v>
      </c>
      <c r="N12" s="25"/>
      <c r="O12" s="26" t="s">
        <v>136</v>
      </c>
      <c r="P12" s="26" t="s">
        <v>200</v>
      </c>
    </row>
    <row r="13" spans="1:16" ht="12.75" customHeight="1" thickBot="1" x14ac:dyDescent="0.25">
      <c r="A13" s="6" t="str">
        <f t="shared" si="0"/>
        <v> AJ 64.262 </v>
      </c>
      <c r="B13" s="12" t="str">
        <f t="shared" si="1"/>
        <v>I</v>
      </c>
      <c r="C13" s="6">
        <f t="shared" si="2"/>
        <v>36112.54</v>
      </c>
      <c r="D13" s="11" t="str">
        <f t="shared" si="3"/>
        <v>vis</v>
      </c>
      <c r="E13" s="23">
        <f>VLOOKUP(C13,Active!C$21:E$971,3,FALSE)</f>
        <v>-920.99886837941199</v>
      </c>
      <c r="F13" s="12" t="s">
        <v>60</v>
      </c>
      <c r="G13" s="11" t="str">
        <f t="shared" si="4"/>
        <v>36112.540</v>
      </c>
      <c r="H13" s="6">
        <f t="shared" si="5"/>
        <v>-921</v>
      </c>
      <c r="I13" s="24" t="s">
        <v>206</v>
      </c>
      <c r="J13" s="25" t="s">
        <v>207</v>
      </c>
      <c r="K13" s="24">
        <v>-921</v>
      </c>
      <c r="L13" s="24" t="s">
        <v>196</v>
      </c>
      <c r="M13" s="25" t="s">
        <v>62</v>
      </c>
      <c r="N13" s="25"/>
      <c r="O13" s="26" t="s">
        <v>136</v>
      </c>
      <c r="P13" s="26" t="s">
        <v>200</v>
      </c>
    </row>
    <row r="14" spans="1:16" ht="12.75" customHeight="1" thickBot="1" x14ac:dyDescent="0.25">
      <c r="A14" s="6" t="str">
        <f t="shared" si="0"/>
        <v>IBVS 501 </v>
      </c>
      <c r="B14" s="12" t="str">
        <f t="shared" si="1"/>
        <v>I</v>
      </c>
      <c r="C14" s="6">
        <f t="shared" si="2"/>
        <v>37882.491000000002</v>
      </c>
      <c r="D14" s="11" t="str">
        <f t="shared" si="3"/>
        <v>vis</v>
      </c>
      <c r="E14" s="23">
        <f>VLOOKUP(C14,Active!C$21:E$971,3,FALSE)</f>
        <v>-602.0027240501704</v>
      </c>
      <c r="F14" s="12" t="s">
        <v>60</v>
      </c>
      <c r="G14" s="11" t="str">
        <f t="shared" si="4"/>
        <v>37882.491</v>
      </c>
      <c r="H14" s="6">
        <f t="shared" si="5"/>
        <v>-602</v>
      </c>
      <c r="I14" s="24" t="s">
        <v>210</v>
      </c>
      <c r="J14" s="25" t="s">
        <v>211</v>
      </c>
      <c r="K14" s="24">
        <v>-602</v>
      </c>
      <c r="L14" s="24" t="s">
        <v>212</v>
      </c>
      <c r="M14" s="25" t="s">
        <v>66</v>
      </c>
      <c r="N14" s="25"/>
      <c r="O14" s="26" t="s">
        <v>213</v>
      </c>
      <c r="P14" s="27" t="s">
        <v>214</v>
      </c>
    </row>
    <row r="15" spans="1:16" ht="12.75" customHeight="1" thickBot="1" x14ac:dyDescent="0.25">
      <c r="A15" s="6" t="str">
        <f t="shared" si="0"/>
        <v>IBVS 501 </v>
      </c>
      <c r="B15" s="12" t="str">
        <f t="shared" si="1"/>
        <v>I</v>
      </c>
      <c r="C15" s="6">
        <f t="shared" si="2"/>
        <v>40096.334999999999</v>
      </c>
      <c r="D15" s="11" t="str">
        <f t="shared" si="3"/>
        <v>vis</v>
      </c>
      <c r="E15" s="23">
        <f>VLOOKUP(C15,Active!C$21:E$971,3,FALSE)</f>
        <v>-203.004277117784</v>
      </c>
      <c r="F15" s="12" t="s">
        <v>60</v>
      </c>
      <c r="G15" s="11" t="str">
        <f t="shared" si="4"/>
        <v>40096.335</v>
      </c>
      <c r="H15" s="6">
        <f t="shared" si="5"/>
        <v>-203</v>
      </c>
      <c r="I15" s="24" t="s">
        <v>234</v>
      </c>
      <c r="J15" s="25" t="s">
        <v>235</v>
      </c>
      <c r="K15" s="24">
        <v>-203</v>
      </c>
      <c r="L15" s="24" t="s">
        <v>236</v>
      </c>
      <c r="M15" s="25" t="s">
        <v>88</v>
      </c>
      <c r="N15" s="25"/>
      <c r="O15" s="26" t="s">
        <v>213</v>
      </c>
      <c r="P15" s="27" t="s">
        <v>214</v>
      </c>
    </row>
    <row r="16" spans="1:16" ht="12.75" customHeight="1" thickBot="1" x14ac:dyDescent="0.25">
      <c r="A16" s="6" t="str">
        <f t="shared" si="0"/>
        <v> AA 29.261 </v>
      </c>
      <c r="B16" s="12" t="str">
        <f t="shared" si="1"/>
        <v>I</v>
      </c>
      <c r="C16" s="6">
        <f t="shared" si="2"/>
        <v>41222.7048</v>
      </c>
      <c r="D16" s="11" t="str">
        <f t="shared" si="3"/>
        <v>vis</v>
      </c>
      <c r="E16" s="23">
        <f>VLOOKUP(C16,Active!C$21:E$971,3,FALSE)</f>
        <v>0</v>
      </c>
      <c r="F16" s="12" t="s">
        <v>60</v>
      </c>
      <c r="G16" s="11" t="str">
        <f t="shared" si="4"/>
        <v>41222.7048</v>
      </c>
      <c r="H16" s="6">
        <f t="shared" si="5"/>
        <v>0</v>
      </c>
      <c r="I16" s="24" t="s">
        <v>241</v>
      </c>
      <c r="J16" s="25" t="s">
        <v>242</v>
      </c>
      <c r="K16" s="24">
        <v>0</v>
      </c>
      <c r="L16" s="24" t="s">
        <v>243</v>
      </c>
      <c r="M16" s="25" t="s">
        <v>244</v>
      </c>
      <c r="N16" s="25" t="s">
        <v>245</v>
      </c>
      <c r="O16" s="26" t="s">
        <v>246</v>
      </c>
      <c r="P16" s="26" t="s">
        <v>247</v>
      </c>
    </row>
    <row r="17" spans="1:16" ht="12.75" customHeight="1" thickBot="1" x14ac:dyDescent="0.25">
      <c r="A17" s="6" t="str">
        <f t="shared" si="0"/>
        <v> BBS 105 </v>
      </c>
      <c r="B17" s="12" t="str">
        <f t="shared" si="1"/>
        <v>I</v>
      </c>
      <c r="C17" s="6">
        <f t="shared" si="2"/>
        <v>49229.470999999998</v>
      </c>
      <c r="D17" s="11" t="str">
        <f t="shared" si="3"/>
        <v>vis</v>
      </c>
      <c r="E17" s="23">
        <f>VLOOKUP(C17,Active!C$21:E$971,3,FALSE)</f>
        <v>1443.0498620276444</v>
      </c>
      <c r="F17" s="12" t="s">
        <v>60</v>
      </c>
      <c r="G17" s="11" t="str">
        <f t="shared" si="4"/>
        <v>49229.471</v>
      </c>
      <c r="H17" s="6">
        <f t="shared" si="5"/>
        <v>1443</v>
      </c>
      <c r="I17" s="24" t="s">
        <v>269</v>
      </c>
      <c r="J17" s="25" t="s">
        <v>270</v>
      </c>
      <c r="K17" s="24">
        <v>1443</v>
      </c>
      <c r="L17" s="24" t="s">
        <v>271</v>
      </c>
      <c r="M17" s="25" t="s">
        <v>88</v>
      </c>
      <c r="N17" s="25"/>
      <c r="O17" s="26" t="s">
        <v>272</v>
      </c>
      <c r="P17" s="26" t="s">
        <v>273</v>
      </c>
    </row>
    <row r="18" spans="1:16" ht="12.75" customHeight="1" thickBot="1" x14ac:dyDescent="0.25">
      <c r="A18" s="6" t="str">
        <f t="shared" si="0"/>
        <v>IBVS 5917 </v>
      </c>
      <c r="B18" s="12" t="str">
        <f t="shared" si="1"/>
        <v>I</v>
      </c>
      <c r="C18" s="6">
        <f t="shared" si="2"/>
        <v>54001.364999999998</v>
      </c>
      <c r="D18" s="11" t="str">
        <f t="shared" si="3"/>
        <v>vis</v>
      </c>
      <c r="E18" s="23">
        <f>VLOOKUP(C18,Active!C$21:E$971,3,FALSE)</f>
        <v>2303.0825901358471</v>
      </c>
      <c r="F18" s="12" t="s">
        <v>60</v>
      </c>
      <c r="G18" s="11" t="str">
        <f t="shared" si="4"/>
        <v>54001.365</v>
      </c>
      <c r="H18" s="6">
        <f t="shared" si="5"/>
        <v>2303</v>
      </c>
      <c r="I18" s="24" t="s">
        <v>286</v>
      </c>
      <c r="J18" s="25" t="s">
        <v>287</v>
      </c>
      <c r="K18" s="24">
        <v>2303</v>
      </c>
      <c r="L18" s="24" t="s">
        <v>288</v>
      </c>
      <c r="M18" s="25" t="s">
        <v>283</v>
      </c>
      <c r="N18" s="25" t="s">
        <v>60</v>
      </c>
      <c r="O18" s="26" t="s">
        <v>289</v>
      </c>
      <c r="P18" s="27" t="s">
        <v>290</v>
      </c>
    </row>
    <row r="19" spans="1:16" ht="12.75" customHeight="1" thickBot="1" x14ac:dyDescent="0.25">
      <c r="A19" s="6" t="str">
        <f t="shared" si="0"/>
        <v>JAAVSO 36(2);171 </v>
      </c>
      <c r="B19" s="12" t="str">
        <f t="shared" si="1"/>
        <v>I</v>
      </c>
      <c r="C19" s="6">
        <f t="shared" si="2"/>
        <v>54339.835200000001</v>
      </c>
      <c r="D19" s="11" t="str">
        <f t="shared" si="3"/>
        <v>vis</v>
      </c>
      <c r="E19" s="23">
        <f>VLOOKUP(C19,Active!C$21:E$971,3,FALSE)</f>
        <v>2364.0846680297254</v>
      </c>
      <c r="F19" s="12" t="s">
        <v>60</v>
      </c>
      <c r="G19" s="11" t="str">
        <f t="shared" si="4"/>
        <v>54339.8352</v>
      </c>
      <c r="H19" s="6">
        <f t="shared" si="5"/>
        <v>2364</v>
      </c>
      <c r="I19" s="24" t="s">
        <v>291</v>
      </c>
      <c r="J19" s="25" t="s">
        <v>292</v>
      </c>
      <c r="K19" s="24">
        <v>2364</v>
      </c>
      <c r="L19" s="24" t="s">
        <v>293</v>
      </c>
      <c r="M19" s="25" t="s">
        <v>283</v>
      </c>
      <c r="N19" s="25" t="s">
        <v>284</v>
      </c>
      <c r="O19" s="26" t="s">
        <v>294</v>
      </c>
      <c r="P19" s="27" t="s">
        <v>295</v>
      </c>
    </row>
    <row r="20" spans="1:16" ht="12.75" customHeight="1" thickBot="1" x14ac:dyDescent="0.25">
      <c r="A20" s="6" t="str">
        <f t="shared" si="0"/>
        <v> JAAVSO 39;94 </v>
      </c>
      <c r="B20" s="12" t="str">
        <f t="shared" si="1"/>
        <v>I</v>
      </c>
      <c r="C20" s="6">
        <f t="shared" si="2"/>
        <v>55438.481299999999</v>
      </c>
      <c r="D20" s="11" t="str">
        <f t="shared" si="3"/>
        <v>vis</v>
      </c>
      <c r="E20" s="23">
        <f>VLOOKUP(C20,Active!C$21:E$971,3,FALSE)</f>
        <v>2562.0923359721473</v>
      </c>
      <c r="F20" s="12" t="s">
        <v>60</v>
      </c>
      <c r="G20" s="11" t="str">
        <f t="shared" si="4"/>
        <v>55438.4813</v>
      </c>
      <c r="H20" s="6">
        <f t="shared" si="5"/>
        <v>2562</v>
      </c>
      <c r="I20" s="24" t="s">
        <v>296</v>
      </c>
      <c r="J20" s="25" t="s">
        <v>297</v>
      </c>
      <c r="K20" s="24">
        <v>2562</v>
      </c>
      <c r="L20" s="24" t="s">
        <v>298</v>
      </c>
      <c r="M20" s="25" t="s">
        <v>283</v>
      </c>
      <c r="N20" s="25" t="s">
        <v>284</v>
      </c>
      <c r="O20" s="26" t="s">
        <v>285</v>
      </c>
      <c r="P20" s="26" t="s">
        <v>299</v>
      </c>
    </row>
    <row r="21" spans="1:16" ht="12.75" customHeight="1" thickBot="1" x14ac:dyDescent="0.25">
      <c r="A21" s="6" t="str">
        <f t="shared" si="0"/>
        <v> AN 231.115 </v>
      </c>
      <c r="B21" s="12" t="str">
        <f t="shared" si="1"/>
        <v>I</v>
      </c>
      <c r="C21" s="6">
        <f t="shared" si="2"/>
        <v>22280.2</v>
      </c>
      <c r="D21" s="11" t="str">
        <f t="shared" si="3"/>
        <v>vis</v>
      </c>
      <c r="E21" s="23">
        <f>VLOOKUP(C21,Active!C$21:E$971,3,FALSE)</f>
        <v>-3413.9849041799166</v>
      </c>
      <c r="F21" s="12" t="s">
        <v>60</v>
      </c>
      <c r="G21" s="11" t="str">
        <f t="shared" si="4"/>
        <v>22280.20</v>
      </c>
      <c r="H21" s="6">
        <f t="shared" si="5"/>
        <v>-3414</v>
      </c>
      <c r="I21" s="24" t="s">
        <v>63</v>
      </c>
      <c r="J21" s="25" t="s">
        <v>64</v>
      </c>
      <c r="K21" s="24">
        <v>-3414</v>
      </c>
      <c r="L21" s="24" t="s">
        <v>65</v>
      </c>
      <c r="M21" s="25" t="s">
        <v>66</v>
      </c>
      <c r="N21" s="25"/>
      <c r="O21" s="26" t="s">
        <v>67</v>
      </c>
      <c r="P21" s="26" t="s">
        <v>68</v>
      </c>
    </row>
    <row r="22" spans="1:16" ht="12.75" customHeight="1" thickBot="1" x14ac:dyDescent="0.25">
      <c r="A22" s="6" t="str">
        <f t="shared" si="0"/>
        <v> AN 231.115 </v>
      </c>
      <c r="B22" s="12" t="str">
        <f t="shared" si="1"/>
        <v>I</v>
      </c>
      <c r="C22" s="6">
        <f t="shared" si="2"/>
        <v>23706.22</v>
      </c>
      <c r="D22" s="11" t="str">
        <f t="shared" si="3"/>
        <v>vis</v>
      </c>
      <c r="E22" s="23">
        <f>VLOOKUP(C22,Active!C$21:E$971,3,FALSE)</f>
        <v>-3156.9750311741755</v>
      </c>
      <c r="F22" s="12" t="s">
        <v>60</v>
      </c>
      <c r="G22" s="11" t="str">
        <f t="shared" si="4"/>
        <v>23706.22</v>
      </c>
      <c r="H22" s="6">
        <f t="shared" si="5"/>
        <v>-3157</v>
      </c>
      <c r="I22" s="24" t="s">
        <v>69</v>
      </c>
      <c r="J22" s="25" t="s">
        <v>70</v>
      </c>
      <c r="K22" s="24">
        <v>-3157</v>
      </c>
      <c r="L22" s="24" t="s">
        <v>71</v>
      </c>
      <c r="M22" s="25" t="s">
        <v>66</v>
      </c>
      <c r="N22" s="25"/>
      <c r="O22" s="26" t="s">
        <v>67</v>
      </c>
      <c r="P22" s="26" t="s">
        <v>68</v>
      </c>
    </row>
    <row r="23" spans="1:16" ht="12.75" customHeight="1" thickBot="1" x14ac:dyDescent="0.25">
      <c r="A23" s="6" t="str">
        <f t="shared" si="0"/>
        <v> AN 231.115 </v>
      </c>
      <c r="B23" s="12" t="str">
        <f t="shared" si="1"/>
        <v>I</v>
      </c>
      <c r="C23" s="6">
        <f t="shared" si="2"/>
        <v>24011.52</v>
      </c>
      <c r="D23" s="11" t="str">
        <f t="shared" si="3"/>
        <v>vis</v>
      </c>
      <c r="E23" s="23">
        <f>VLOOKUP(C23,Active!C$21:E$971,3,FALSE)</f>
        <v>-3101.9511786134449</v>
      </c>
      <c r="F23" s="12" t="s">
        <v>60</v>
      </c>
      <c r="G23" s="11" t="str">
        <f t="shared" si="4"/>
        <v>24011.52</v>
      </c>
      <c r="H23" s="6">
        <f t="shared" si="5"/>
        <v>-3102</v>
      </c>
      <c r="I23" s="24" t="s">
        <v>72</v>
      </c>
      <c r="J23" s="25" t="s">
        <v>73</v>
      </c>
      <c r="K23" s="24">
        <v>-3102</v>
      </c>
      <c r="L23" s="24" t="s">
        <v>74</v>
      </c>
      <c r="M23" s="25" t="s">
        <v>66</v>
      </c>
      <c r="N23" s="25"/>
      <c r="O23" s="26" t="s">
        <v>67</v>
      </c>
      <c r="P23" s="26" t="s">
        <v>68</v>
      </c>
    </row>
    <row r="24" spans="1:16" ht="12.75" customHeight="1" thickBot="1" x14ac:dyDescent="0.25">
      <c r="A24" s="6" t="str">
        <f t="shared" si="0"/>
        <v> AN 231.115 </v>
      </c>
      <c r="B24" s="12" t="str">
        <f t="shared" si="1"/>
        <v>I</v>
      </c>
      <c r="C24" s="6">
        <f t="shared" si="2"/>
        <v>24388.52</v>
      </c>
      <c r="D24" s="11" t="str">
        <f t="shared" si="3"/>
        <v>vis</v>
      </c>
      <c r="E24" s="23">
        <f>VLOOKUP(C24,Active!C$21:E$971,3,FALSE)</f>
        <v>-3034.004921111331</v>
      </c>
      <c r="F24" s="12" t="s">
        <v>60</v>
      </c>
      <c r="G24" s="11" t="str">
        <f t="shared" si="4"/>
        <v>24388.52</v>
      </c>
      <c r="H24" s="6">
        <f t="shared" si="5"/>
        <v>-3034</v>
      </c>
      <c r="I24" s="24" t="s">
        <v>75</v>
      </c>
      <c r="J24" s="25" t="s">
        <v>76</v>
      </c>
      <c r="K24" s="24">
        <v>-3034</v>
      </c>
      <c r="L24" s="24" t="s">
        <v>77</v>
      </c>
      <c r="M24" s="25" t="s">
        <v>66</v>
      </c>
      <c r="N24" s="25"/>
      <c r="O24" s="26" t="s">
        <v>67</v>
      </c>
      <c r="P24" s="26" t="s">
        <v>68</v>
      </c>
    </row>
    <row r="25" spans="1:16" ht="12.75" customHeight="1" thickBot="1" x14ac:dyDescent="0.25">
      <c r="A25" s="6" t="str">
        <f t="shared" si="0"/>
        <v> AN 231.115 </v>
      </c>
      <c r="B25" s="12" t="str">
        <f t="shared" si="1"/>
        <v>I</v>
      </c>
      <c r="C25" s="6">
        <f t="shared" si="2"/>
        <v>24416.28</v>
      </c>
      <c r="D25" s="11" t="str">
        <f t="shared" si="3"/>
        <v>vis</v>
      </c>
      <c r="E25" s="23">
        <f>VLOOKUP(C25,Active!C$21:E$971,3,FALSE)</f>
        <v>-3029.001769630539</v>
      </c>
      <c r="F25" s="12" t="s">
        <v>60</v>
      </c>
      <c r="G25" s="11" t="str">
        <f t="shared" si="4"/>
        <v>24416.28</v>
      </c>
      <c r="H25" s="6">
        <f t="shared" si="5"/>
        <v>-3029</v>
      </c>
      <c r="I25" s="24" t="s">
        <v>78</v>
      </c>
      <c r="J25" s="25" t="s">
        <v>79</v>
      </c>
      <c r="K25" s="24">
        <v>-3029</v>
      </c>
      <c r="L25" s="24" t="s">
        <v>80</v>
      </c>
      <c r="M25" s="25" t="s">
        <v>66</v>
      </c>
      <c r="N25" s="25"/>
      <c r="O25" s="26" t="s">
        <v>81</v>
      </c>
      <c r="P25" s="26" t="s">
        <v>68</v>
      </c>
    </row>
    <row r="26" spans="1:16" ht="12.75" customHeight="1" thickBot="1" x14ac:dyDescent="0.25">
      <c r="A26" s="6" t="str">
        <f t="shared" si="0"/>
        <v> AN 231.115 </v>
      </c>
      <c r="B26" s="12" t="str">
        <f t="shared" si="1"/>
        <v>I</v>
      </c>
      <c r="C26" s="6">
        <f t="shared" si="2"/>
        <v>24466.33</v>
      </c>
      <c r="D26" s="11" t="str">
        <f t="shared" si="3"/>
        <v>vis</v>
      </c>
      <c r="E26" s="23">
        <f>VLOOKUP(C26,Active!C$21:E$971,3,FALSE)</f>
        <v>-3019.9813182035341</v>
      </c>
      <c r="F26" s="12" t="s">
        <v>60</v>
      </c>
      <c r="G26" s="11" t="str">
        <f t="shared" si="4"/>
        <v>24466.33</v>
      </c>
      <c r="H26" s="6">
        <f t="shared" si="5"/>
        <v>-3020</v>
      </c>
      <c r="I26" s="24" t="s">
        <v>82</v>
      </c>
      <c r="J26" s="25" t="s">
        <v>83</v>
      </c>
      <c r="K26" s="24">
        <v>-3020</v>
      </c>
      <c r="L26" s="24" t="s">
        <v>84</v>
      </c>
      <c r="M26" s="25" t="s">
        <v>66</v>
      </c>
      <c r="N26" s="25"/>
      <c r="O26" s="26" t="s">
        <v>81</v>
      </c>
      <c r="P26" s="26" t="s">
        <v>68</v>
      </c>
    </row>
    <row r="27" spans="1:16" ht="12.75" customHeight="1" thickBot="1" x14ac:dyDescent="0.25">
      <c r="A27" s="6" t="str">
        <f t="shared" si="0"/>
        <v> AN 231.115 </v>
      </c>
      <c r="B27" s="12" t="str">
        <f t="shared" si="1"/>
        <v>I</v>
      </c>
      <c r="C27" s="6">
        <f t="shared" si="2"/>
        <v>24738.236000000001</v>
      </c>
      <c r="D27" s="11" t="str">
        <f t="shared" si="3"/>
        <v>vis</v>
      </c>
      <c r="E27" s="23">
        <f>VLOOKUP(C27,Active!C$21:E$971,3,FALSE)</f>
        <v>-2970.9760261813331</v>
      </c>
      <c r="F27" s="12" t="s">
        <v>60</v>
      </c>
      <c r="G27" s="11" t="str">
        <f t="shared" si="4"/>
        <v>24738.236</v>
      </c>
      <c r="H27" s="6">
        <f t="shared" si="5"/>
        <v>-2971</v>
      </c>
      <c r="I27" s="24" t="s">
        <v>85</v>
      </c>
      <c r="J27" s="25" t="s">
        <v>86</v>
      </c>
      <c r="K27" s="24">
        <v>-2971</v>
      </c>
      <c r="L27" s="24" t="s">
        <v>87</v>
      </c>
      <c r="M27" s="25" t="s">
        <v>88</v>
      </c>
      <c r="N27" s="25"/>
      <c r="O27" s="26" t="s">
        <v>89</v>
      </c>
      <c r="P27" s="26" t="s">
        <v>68</v>
      </c>
    </row>
    <row r="28" spans="1:16" ht="12.75" customHeight="1" thickBot="1" x14ac:dyDescent="0.25">
      <c r="A28" s="6" t="str">
        <f t="shared" si="0"/>
        <v> AN 231.115 </v>
      </c>
      <c r="B28" s="12" t="str">
        <f t="shared" si="1"/>
        <v>I</v>
      </c>
      <c r="C28" s="6">
        <f t="shared" si="2"/>
        <v>24760.432000000001</v>
      </c>
      <c r="D28" s="11" t="str">
        <f t="shared" si="3"/>
        <v>vis</v>
      </c>
      <c r="E28" s="23">
        <f>VLOOKUP(C28,Active!C$21:E$971,3,FALSE)</f>
        <v>-2966.9756677422961</v>
      </c>
      <c r="F28" s="12" t="s">
        <v>60</v>
      </c>
      <c r="G28" s="11" t="str">
        <f t="shared" si="4"/>
        <v>24760.432</v>
      </c>
      <c r="H28" s="6">
        <f t="shared" si="5"/>
        <v>-2967</v>
      </c>
      <c r="I28" s="24" t="s">
        <v>90</v>
      </c>
      <c r="J28" s="25" t="s">
        <v>91</v>
      </c>
      <c r="K28" s="24">
        <v>-2967</v>
      </c>
      <c r="L28" s="24" t="s">
        <v>92</v>
      </c>
      <c r="M28" s="25" t="s">
        <v>88</v>
      </c>
      <c r="N28" s="25"/>
      <c r="O28" s="26" t="s">
        <v>89</v>
      </c>
      <c r="P28" s="26" t="s">
        <v>68</v>
      </c>
    </row>
    <row r="29" spans="1:16" ht="12.75" customHeight="1" thickBot="1" x14ac:dyDescent="0.25">
      <c r="A29" s="6" t="str">
        <f t="shared" si="0"/>
        <v> AN 231.115 </v>
      </c>
      <c r="B29" s="12" t="str">
        <f t="shared" si="1"/>
        <v>I</v>
      </c>
      <c r="C29" s="6">
        <f t="shared" si="2"/>
        <v>24777.078000000001</v>
      </c>
      <c r="D29" s="11" t="str">
        <f t="shared" si="3"/>
        <v>vis</v>
      </c>
      <c r="E29" s="23">
        <f>VLOOKUP(C29,Active!C$21:E$971,3,FALSE)</f>
        <v>-2963.9755791418179</v>
      </c>
      <c r="F29" s="12" t="s">
        <v>60</v>
      </c>
      <c r="G29" s="11" t="str">
        <f t="shared" si="4"/>
        <v>24777.078</v>
      </c>
      <c r="H29" s="6">
        <f t="shared" si="5"/>
        <v>-2964</v>
      </c>
      <c r="I29" s="24" t="s">
        <v>93</v>
      </c>
      <c r="J29" s="25" t="s">
        <v>94</v>
      </c>
      <c r="K29" s="24">
        <v>-2964</v>
      </c>
      <c r="L29" s="24" t="s">
        <v>92</v>
      </c>
      <c r="M29" s="25" t="s">
        <v>88</v>
      </c>
      <c r="N29" s="25"/>
      <c r="O29" s="26" t="s">
        <v>89</v>
      </c>
      <c r="P29" s="26" t="s">
        <v>68</v>
      </c>
    </row>
    <row r="30" spans="1:16" ht="12.75" customHeight="1" thickBot="1" x14ac:dyDescent="0.25">
      <c r="A30" s="6" t="str">
        <f t="shared" si="0"/>
        <v> IODE 4.2.264 </v>
      </c>
      <c r="B30" s="12" t="str">
        <f t="shared" si="1"/>
        <v>I</v>
      </c>
      <c r="C30" s="6">
        <f t="shared" si="2"/>
        <v>25093.331999999999</v>
      </c>
      <c r="D30" s="11" t="str">
        <f t="shared" si="3"/>
        <v>vis</v>
      </c>
      <c r="E30" s="23">
        <f>VLOOKUP(C30,Active!C$21:E$971,3,FALSE)</f>
        <v>-2906.9775003087325</v>
      </c>
      <c r="F30" s="12" t="s">
        <v>60</v>
      </c>
      <c r="G30" s="11" t="str">
        <f t="shared" si="4"/>
        <v>25093.332</v>
      </c>
      <c r="H30" s="6">
        <f t="shared" si="5"/>
        <v>-2907</v>
      </c>
      <c r="I30" s="24" t="s">
        <v>95</v>
      </c>
      <c r="J30" s="25" t="s">
        <v>96</v>
      </c>
      <c r="K30" s="24">
        <v>-2907</v>
      </c>
      <c r="L30" s="24" t="s">
        <v>97</v>
      </c>
      <c r="M30" s="25" t="s">
        <v>88</v>
      </c>
      <c r="N30" s="25"/>
      <c r="O30" s="26" t="s">
        <v>89</v>
      </c>
      <c r="P30" s="26" t="s">
        <v>98</v>
      </c>
    </row>
    <row r="31" spans="1:16" ht="12.75" customHeight="1" thickBot="1" x14ac:dyDescent="0.25">
      <c r="A31" s="6" t="str">
        <f t="shared" si="0"/>
        <v> IODE 4.2.264 </v>
      </c>
      <c r="B31" s="12" t="str">
        <f t="shared" si="1"/>
        <v>I</v>
      </c>
      <c r="C31" s="6">
        <f t="shared" si="2"/>
        <v>26569.190999999999</v>
      </c>
      <c r="D31" s="11" t="str">
        <f t="shared" si="3"/>
        <v>vis</v>
      </c>
      <c r="E31" s="23">
        <f>VLOOKUP(C31,Active!C$21:E$971,3,FALSE)</f>
        <v>-2640.9852041527315</v>
      </c>
      <c r="F31" s="12" t="s">
        <v>60</v>
      </c>
      <c r="G31" s="11" t="str">
        <f t="shared" si="4"/>
        <v>26569.191</v>
      </c>
      <c r="H31" s="6">
        <f t="shared" si="5"/>
        <v>-2641</v>
      </c>
      <c r="I31" s="24" t="s">
        <v>99</v>
      </c>
      <c r="J31" s="25" t="s">
        <v>100</v>
      </c>
      <c r="K31" s="24">
        <v>-2641</v>
      </c>
      <c r="L31" s="24" t="s">
        <v>101</v>
      </c>
      <c r="M31" s="25" t="s">
        <v>88</v>
      </c>
      <c r="N31" s="25"/>
      <c r="O31" s="26" t="s">
        <v>89</v>
      </c>
      <c r="P31" s="26" t="s">
        <v>98</v>
      </c>
    </row>
    <row r="32" spans="1:16" ht="12.75" customHeight="1" thickBot="1" x14ac:dyDescent="0.25">
      <c r="A32" s="6" t="str">
        <f t="shared" si="0"/>
        <v> AN 278.181 </v>
      </c>
      <c r="B32" s="12" t="str">
        <f t="shared" si="1"/>
        <v>I</v>
      </c>
      <c r="C32" s="6">
        <f t="shared" si="2"/>
        <v>26957.465</v>
      </c>
      <c r="D32" s="11" t="str">
        <f t="shared" si="3"/>
        <v>vis</v>
      </c>
      <c r="E32" s="23">
        <f>VLOOKUP(C32,Active!C$21:E$971,3,FALSE)</f>
        <v>-2571.0070471623444</v>
      </c>
      <c r="F32" s="12" t="s">
        <v>60</v>
      </c>
      <c r="G32" s="11" t="str">
        <f t="shared" si="4"/>
        <v>26957.465</v>
      </c>
      <c r="H32" s="6">
        <f t="shared" si="5"/>
        <v>-2571</v>
      </c>
      <c r="I32" s="24" t="s">
        <v>102</v>
      </c>
      <c r="J32" s="25" t="s">
        <v>103</v>
      </c>
      <c r="K32" s="24">
        <v>-2571</v>
      </c>
      <c r="L32" s="24" t="s">
        <v>104</v>
      </c>
      <c r="M32" s="25" t="s">
        <v>66</v>
      </c>
      <c r="N32" s="25"/>
      <c r="O32" s="26" t="s">
        <v>105</v>
      </c>
      <c r="P32" s="26" t="s">
        <v>106</v>
      </c>
    </row>
    <row r="33" spans="1:16" ht="12.75" customHeight="1" thickBot="1" x14ac:dyDescent="0.25">
      <c r="A33" s="6" t="str">
        <f t="shared" si="0"/>
        <v> IODE 4.2.264 </v>
      </c>
      <c r="B33" s="12" t="str">
        <f t="shared" si="1"/>
        <v>I</v>
      </c>
      <c r="C33" s="6">
        <f t="shared" si="2"/>
        <v>27024.23</v>
      </c>
      <c r="D33" s="11" t="str">
        <f t="shared" si="3"/>
        <v>vis</v>
      </c>
      <c r="E33" s="23">
        <f>VLOOKUP(C33,Active!C$21:E$971,3,FALSE)</f>
        <v>-2558.9740713476799</v>
      </c>
      <c r="F33" s="12" t="s">
        <v>60</v>
      </c>
      <c r="G33" s="11" t="str">
        <f t="shared" si="4"/>
        <v>27024.23</v>
      </c>
      <c r="H33" s="6">
        <f t="shared" si="5"/>
        <v>-2559</v>
      </c>
      <c r="I33" s="24" t="s">
        <v>107</v>
      </c>
      <c r="J33" s="25" t="s">
        <v>108</v>
      </c>
      <c r="K33" s="24">
        <v>-2559</v>
      </c>
      <c r="L33" s="24" t="s">
        <v>71</v>
      </c>
      <c r="M33" s="25" t="s">
        <v>88</v>
      </c>
      <c r="N33" s="25"/>
      <c r="O33" s="26" t="s">
        <v>89</v>
      </c>
      <c r="P33" s="26" t="s">
        <v>98</v>
      </c>
    </row>
    <row r="34" spans="1:16" ht="12.75" customHeight="1" thickBot="1" x14ac:dyDescent="0.25">
      <c r="A34" s="6" t="str">
        <f t="shared" si="0"/>
        <v> AA 27.158 </v>
      </c>
      <c r="B34" s="12" t="str">
        <f t="shared" si="1"/>
        <v>I</v>
      </c>
      <c r="C34" s="6">
        <f t="shared" si="2"/>
        <v>27340.43</v>
      </c>
      <c r="D34" s="11" t="str">
        <f t="shared" si="3"/>
        <v>vis</v>
      </c>
      <c r="E34" s="23">
        <f>VLOOKUP(C34,Active!C$21:E$971,3,FALSE)</f>
        <v>-2501.9857248697795</v>
      </c>
      <c r="F34" s="12" t="s">
        <v>60</v>
      </c>
      <c r="G34" s="11" t="str">
        <f t="shared" si="4"/>
        <v>27340.430</v>
      </c>
      <c r="H34" s="6">
        <f t="shared" si="5"/>
        <v>-2502</v>
      </c>
      <c r="I34" s="24" t="s">
        <v>109</v>
      </c>
      <c r="J34" s="25" t="s">
        <v>110</v>
      </c>
      <c r="K34" s="24">
        <v>-2502</v>
      </c>
      <c r="L34" s="24" t="s">
        <v>111</v>
      </c>
      <c r="M34" s="25" t="s">
        <v>88</v>
      </c>
      <c r="N34" s="25"/>
      <c r="O34" s="26" t="s">
        <v>112</v>
      </c>
      <c r="P34" s="26" t="s">
        <v>113</v>
      </c>
    </row>
    <row r="35" spans="1:16" ht="12.75" customHeight="1" thickBot="1" x14ac:dyDescent="0.25">
      <c r="A35" s="6" t="str">
        <f t="shared" si="0"/>
        <v> AN 278.181 </v>
      </c>
      <c r="B35" s="12" t="str">
        <f t="shared" si="1"/>
        <v>I</v>
      </c>
      <c r="C35" s="6">
        <f t="shared" si="2"/>
        <v>28078.298999999999</v>
      </c>
      <c r="D35" s="11" t="str">
        <f t="shared" si="3"/>
        <v>vis</v>
      </c>
      <c r="E35" s="23">
        <f>VLOOKUP(C35,Active!C$21:E$971,3,FALSE)</f>
        <v>-2369.0004806341635</v>
      </c>
      <c r="F35" s="12" t="s">
        <v>60</v>
      </c>
      <c r="G35" s="11" t="str">
        <f t="shared" si="4"/>
        <v>28078.299</v>
      </c>
      <c r="H35" s="6">
        <f t="shared" si="5"/>
        <v>-2369</v>
      </c>
      <c r="I35" s="24" t="s">
        <v>114</v>
      </c>
      <c r="J35" s="25" t="s">
        <v>115</v>
      </c>
      <c r="K35" s="24">
        <v>-2369</v>
      </c>
      <c r="L35" s="24" t="s">
        <v>61</v>
      </c>
      <c r="M35" s="25" t="s">
        <v>66</v>
      </c>
      <c r="N35" s="25"/>
      <c r="O35" s="26" t="s">
        <v>105</v>
      </c>
      <c r="P35" s="26" t="s">
        <v>106</v>
      </c>
    </row>
    <row r="36" spans="1:16" ht="12.75" customHeight="1" thickBot="1" x14ac:dyDescent="0.25">
      <c r="A36" s="6" t="str">
        <f t="shared" si="0"/>
        <v> HA 113.75 </v>
      </c>
      <c r="B36" s="12" t="str">
        <f t="shared" si="1"/>
        <v>I</v>
      </c>
      <c r="C36" s="6">
        <f t="shared" si="2"/>
        <v>28083.9</v>
      </c>
      <c r="D36" s="11" t="str">
        <f t="shared" si="3"/>
        <v>vis</v>
      </c>
      <c r="E36" s="23">
        <f>VLOOKUP(C36,Active!C$21:E$971,3,FALSE)</f>
        <v>-2367.9910191268173</v>
      </c>
      <c r="F36" s="12" t="s">
        <v>60</v>
      </c>
      <c r="G36" s="11" t="str">
        <f t="shared" si="4"/>
        <v>28083.900</v>
      </c>
      <c r="H36" s="6">
        <f t="shared" si="5"/>
        <v>-2368</v>
      </c>
      <c r="I36" s="24" t="s">
        <v>116</v>
      </c>
      <c r="J36" s="25" t="s">
        <v>117</v>
      </c>
      <c r="K36" s="24">
        <v>-2368</v>
      </c>
      <c r="L36" s="24" t="s">
        <v>118</v>
      </c>
      <c r="M36" s="25" t="s">
        <v>62</v>
      </c>
      <c r="N36" s="25"/>
      <c r="O36" s="26" t="s">
        <v>119</v>
      </c>
      <c r="P36" s="26" t="s">
        <v>120</v>
      </c>
    </row>
    <row r="37" spans="1:16" ht="12.75" customHeight="1" thickBot="1" x14ac:dyDescent="0.25">
      <c r="A37" s="6" t="str">
        <f t="shared" si="0"/>
        <v> AN 278.181 </v>
      </c>
      <c r="B37" s="12" t="str">
        <f t="shared" si="1"/>
        <v>I</v>
      </c>
      <c r="C37" s="6">
        <f t="shared" si="2"/>
        <v>28422.458999999999</v>
      </c>
      <c r="D37" s="11" t="str">
        <f t="shared" si="3"/>
        <v>vis</v>
      </c>
      <c r="E37" s="23">
        <f>VLOOKUP(C37,Active!C$21:E$971,3,FALSE)</f>
        <v>-2306.972936915523</v>
      </c>
      <c r="F37" s="12" t="s">
        <v>60</v>
      </c>
      <c r="G37" s="11" t="str">
        <f t="shared" si="4"/>
        <v>28422.459</v>
      </c>
      <c r="H37" s="6">
        <f t="shared" si="5"/>
        <v>-2307</v>
      </c>
      <c r="I37" s="24" t="s">
        <v>121</v>
      </c>
      <c r="J37" s="25" t="s">
        <v>122</v>
      </c>
      <c r="K37" s="24">
        <v>-2307</v>
      </c>
      <c r="L37" s="24" t="s">
        <v>123</v>
      </c>
      <c r="M37" s="25" t="s">
        <v>66</v>
      </c>
      <c r="N37" s="25"/>
      <c r="O37" s="26" t="s">
        <v>105</v>
      </c>
      <c r="P37" s="26" t="s">
        <v>106</v>
      </c>
    </row>
    <row r="38" spans="1:16" ht="12.75" customHeight="1" thickBot="1" x14ac:dyDescent="0.25">
      <c r="A38" s="6" t="str">
        <f t="shared" si="0"/>
        <v> AN 278.181 </v>
      </c>
      <c r="B38" s="12" t="str">
        <f t="shared" si="1"/>
        <v>I</v>
      </c>
      <c r="C38" s="6">
        <f t="shared" si="2"/>
        <v>29110.482</v>
      </c>
      <c r="D38" s="11" t="str">
        <f t="shared" si="3"/>
        <v>vis</v>
      </c>
      <c r="E38" s="23">
        <f>VLOOKUP(C38,Active!C$21:E$971,3,FALSE)</f>
        <v>-2182.9713774317643</v>
      </c>
      <c r="F38" s="12" t="s">
        <v>60</v>
      </c>
      <c r="G38" s="11" t="str">
        <f t="shared" si="4"/>
        <v>29110.482</v>
      </c>
      <c r="H38" s="6">
        <f t="shared" si="5"/>
        <v>-2183</v>
      </c>
      <c r="I38" s="24" t="s">
        <v>124</v>
      </c>
      <c r="J38" s="25" t="s">
        <v>125</v>
      </c>
      <c r="K38" s="24">
        <v>-2183</v>
      </c>
      <c r="L38" s="24" t="s">
        <v>126</v>
      </c>
      <c r="M38" s="25" t="s">
        <v>66</v>
      </c>
      <c r="N38" s="25"/>
      <c r="O38" s="26" t="s">
        <v>105</v>
      </c>
      <c r="P38" s="26" t="s">
        <v>106</v>
      </c>
    </row>
    <row r="39" spans="1:16" ht="12.75" customHeight="1" thickBot="1" x14ac:dyDescent="0.25">
      <c r="A39" s="6" t="str">
        <f t="shared" si="0"/>
        <v> AN 278.181 </v>
      </c>
      <c r="B39" s="12" t="str">
        <f t="shared" si="1"/>
        <v>I</v>
      </c>
      <c r="C39" s="6">
        <f t="shared" si="2"/>
        <v>29465.462</v>
      </c>
      <c r="D39" s="11" t="str">
        <f t="shared" si="3"/>
        <v>vis</v>
      </c>
      <c r="E39" s="23">
        <f>VLOOKUP(C39,Active!C$21:E$971,3,FALSE)</f>
        <v>-2118.9937580999331</v>
      </c>
      <c r="F39" s="12" t="s">
        <v>60</v>
      </c>
      <c r="G39" s="11" t="str">
        <f t="shared" si="4"/>
        <v>29465.462</v>
      </c>
      <c r="H39" s="6">
        <f t="shared" si="5"/>
        <v>-2119</v>
      </c>
      <c r="I39" s="24" t="s">
        <v>127</v>
      </c>
      <c r="J39" s="25" t="s">
        <v>128</v>
      </c>
      <c r="K39" s="24">
        <v>-2119</v>
      </c>
      <c r="L39" s="24" t="s">
        <v>129</v>
      </c>
      <c r="M39" s="25" t="s">
        <v>66</v>
      </c>
      <c r="N39" s="25"/>
      <c r="O39" s="26" t="s">
        <v>105</v>
      </c>
      <c r="P39" s="26" t="s">
        <v>106</v>
      </c>
    </row>
    <row r="40" spans="1:16" ht="12.75" customHeight="1" thickBot="1" x14ac:dyDescent="0.25">
      <c r="A40" s="6" t="str">
        <f t="shared" si="0"/>
        <v> IODE 4.2.264 </v>
      </c>
      <c r="B40" s="12" t="str">
        <f t="shared" si="1"/>
        <v>I</v>
      </c>
      <c r="C40" s="6">
        <f t="shared" si="2"/>
        <v>31296.455999999998</v>
      </c>
      <c r="D40" s="11" t="str">
        <f t="shared" si="3"/>
        <v>vis</v>
      </c>
      <c r="E40" s="23">
        <f>VLOOKUP(C40,Active!C$21:E$971,3,FALSE)</f>
        <v>-1788.9959071481412</v>
      </c>
      <c r="F40" s="12" t="s">
        <v>60</v>
      </c>
      <c r="G40" s="11" t="str">
        <f t="shared" si="4"/>
        <v>31296.456</v>
      </c>
      <c r="H40" s="6">
        <f t="shared" si="5"/>
        <v>-1789</v>
      </c>
      <c r="I40" s="24" t="s">
        <v>130</v>
      </c>
      <c r="J40" s="25" t="s">
        <v>131</v>
      </c>
      <c r="K40" s="24">
        <v>-1789</v>
      </c>
      <c r="L40" s="24" t="s">
        <v>132</v>
      </c>
      <c r="M40" s="25" t="s">
        <v>88</v>
      </c>
      <c r="N40" s="25"/>
      <c r="O40" s="26" t="s">
        <v>89</v>
      </c>
      <c r="P40" s="26" t="s">
        <v>98</v>
      </c>
    </row>
    <row r="41" spans="1:16" ht="12.75" customHeight="1" thickBot="1" x14ac:dyDescent="0.25">
      <c r="A41" s="6" t="str">
        <f t="shared" si="0"/>
        <v> AJ 53.13 </v>
      </c>
      <c r="B41" s="12" t="str">
        <f t="shared" si="1"/>
        <v>I</v>
      </c>
      <c r="C41" s="6">
        <f t="shared" si="2"/>
        <v>31712.598000000002</v>
      </c>
      <c r="D41" s="11" t="str">
        <f t="shared" si="3"/>
        <v>vis</v>
      </c>
      <c r="E41" s="23">
        <f>VLOOKUP(C41,Active!C$21:E$971,3,FALSE)</f>
        <v>-1713.9951339665897</v>
      </c>
      <c r="F41" s="12" t="s">
        <v>60</v>
      </c>
      <c r="G41" s="11" t="str">
        <f t="shared" si="4"/>
        <v>31712.598</v>
      </c>
      <c r="H41" s="6">
        <f t="shared" si="5"/>
        <v>-1714</v>
      </c>
      <c r="I41" s="24" t="s">
        <v>133</v>
      </c>
      <c r="J41" s="25" t="s">
        <v>134</v>
      </c>
      <c r="K41" s="24">
        <v>-1714</v>
      </c>
      <c r="L41" s="24" t="s">
        <v>135</v>
      </c>
      <c r="M41" s="25" t="s">
        <v>62</v>
      </c>
      <c r="N41" s="25"/>
      <c r="O41" s="26" t="s">
        <v>136</v>
      </c>
      <c r="P41" s="26" t="s">
        <v>137</v>
      </c>
    </row>
    <row r="42" spans="1:16" ht="12.75" customHeight="1" thickBot="1" x14ac:dyDescent="0.25">
      <c r="A42" s="6" t="str">
        <f t="shared" si="0"/>
        <v> AJ 62.373 </v>
      </c>
      <c r="B42" s="12" t="str">
        <f t="shared" si="1"/>
        <v>I</v>
      </c>
      <c r="C42" s="6">
        <f t="shared" si="2"/>
        <v>31762.54</v>
      </c>
      <c r="D42" s="11" t="str">
        <f t="shared" si="3"/>
        <v>vis</v>
      </c>
      <c r="E42" s="23">
        <f>VLOOKUP(C42,Active!C$21:E$971,3,FALSE)</f>
        <v>-1704.994147249957</v>
      </c>
      <c r="F42" s="12" t="s">
        <v>60</v>
      </c>
      <c r="G42" s="11" t="str">
        <f t="shared" si="4"/>
        <v>31762.540</v>
      </c>
      <c r="H42" s="6">
        <f t="shared" si="5"/>
        <v>-1705</v>
      </c>
      <c r="I42" s="24" t="s">
        <v>138</v>
      </c>
      <c r="J42" s="25" t="s">
        <v>139</v>
      </c>
      <c r="K42" s="24">
        <v>-1705</v>
      </c>
      <c r="L42" s="24" t="s">
        <v>140</v>
      </c>
      <c r="M42" s="25" t="s">
        <v>62</v>
      </c>
      <c r="N42" s="25"/>
      <c r="O42" s="26" t="s">
        <v>136</v>
      </c>
      <c r="P42" s="26" t="s">
        <v>141</v>
      </c>
    </row>
    <row r="43" spans="1:16" ht="12.75" customHeight="1" thickBot="1" x14ac:dyDescent="0.25">
      <c r="A43" s="6" t="str">
        <f t="shared" ref="A43:A77" si="6">P43</f>
        <v> AJ 53.13 </v>
      </c>
      <c r="B43" s="12" t="str">
        <f t="shared" ref="B43:B77" si="7">IF(H43=INT(H43),"I","II")</f>
        <v>I</v>
      </c>
      <c r="C43" s="6">
        <f t="shared" ref="C43:C77" si="8">1*G43</f>
        <v>31967.828000000001</v>
      </c>
      <c r="D43" s="11" t="str">
        <f t="shared" ref="D43:D77" si="9">VLOOKUP(F43,I$1:J$5,2,FALSE)</f>
        <v>vis</v>
      </c>
      <c r="E43" s="23">
        <f>VLOOKUP(C43,Active!C$21:E$971,3,FALSE)</f>
        <v>-1667.9953374088591</v>
      </c>
      <c r="F43" s="12" t="s">
        <v>60</v>
      </c>
      <c r="G43" s="11" t="str">
        <f t="shared" ref="G43:G77" si="10">MID(I43,3,LEN(I43)-3)</f>
        <v>31967.828</v>
      </c>
      <c r="H43" s="6">
        <f t="shared" ref="H43:H77" si="11">1*K43</f>
        <v>-1668</v>
      </c>
      <c r="I43" s="24" t="s">
        <v>142</v>
      </c>
      <c r="J43" s="25" t="s">
        <v>143</v>
      </c>
      <c r="K43" s="24">
        <v>-1668</v>
      </c>
      <c r="L43" s="24" t="s">
        <v>144</v>
      </c>
      <c r="M43" s="25" t="s">
        <v>62</v>
      </c>
      <c r="N43" s="25"/>
      <c r="O43" s="26" t="s">
        <v>136</v>
      </c>
      <c r="P43" s="26" t="s">
        <v>137</v>
      </c>
    </row>
    <row r="44" spans="1:16" ht="12.75" customHeight="1" thickBot="1" x14ac:dyDescent="0.25">
      <c r="A44" s="6" t="str">
        <f t="shared" si="6"/>
        <v> AJ 62.373 </v>
      </c>
      <c r="B44" s="12" t="str">
        <f t="shared" si="7"/>
        <v>I</v>
      </c>
      <c r="C44" s="6">
        <f t="shared" si="8"/>
        <v>32078.797999999999</v>
      </c>
      <c r="D44" s="11" t="str">
        <f t="shared" si="9"/>
        <v>vis</v>
      </c>
      <c r="E44" s="23">
        <f>VLOOKUP(C44,Active!C$21:E$971,3,FALSE)</f>
        <v>-1647.9953475016723</v>
      </c>
      <c r="F44" s="12" t="s">
        <v>60</v>
      </c>
      <c r="G44" s="11" t="str">
        <f t="shared" si="10"/>
        <v>32078.798</v>
      </c>
      <c r="H44" s="6">
        <f t="shared" si="11"/>
        <v>-1648</v>
      </c>
      <c r="I44" s="24" t="s">
        <v>145</v>
      </c>
      <c r="J44" s="25" t="s">
        <v>146</v>
      </c>
      <c r="K44" s="24">
        <v>-1648</v>
      </c>
      <c r="L44" s="24" t="s">
        <v>144</v>
      </c>
      <c r="M44" s="25" t="s">
        <v>62</v>
      </c>
      <c r="N44" s="25"/>
      <c r="O44" s="26" t="s">
        <v>136</v>
      </c>
      <c r="P44" s="26" t="s">
        <v>141</v>
      </c>
    </row>
    <row r="45" spans="1:16" ht="12.75" customHeight="1" thickBot="1" x14ac:dyDescent="0.25">
      <c r="A45" s="6" t="str">
        <f t="shared" si="6"/>
        <v> AAC 4.113 </v>
      </c>
      <c r="B45" s="12" t="str">
        <f t="shared" si="7"/>
        <v>I</v>
      </c>
      <c r="C45" s="6">
        <f t="shared" si="8"/>
        <v>32794.531999999999</v>
      </c>
      <c r="D45" s="11" t="str">
        <f t="shared" si="9"/>
        <v>vis</v>
      </c>
      <c r="E45" s="23">
        <f>VLOOKUP(C45,Active!C$21:E$971,3,FALSE)</f>
        <v>-1518.9994677483087</v>
      </c>
      <c r="F45" s="12" t="s">
        <v>60</v>
      </c>
      <c r="G45" s="11" t="str">
        <f t="shared" si="10"/>
        <v>32794.532</v>
      </c>
      <c r="H45" s="6">
        <f t="shared" si="11"/>
        <v>-1519</v>
      </c>
      <c r="I45" s="24" t="s">
        <v>147</v>
      </c>
      <c r="J45" s="25" t="s">
        <v>148</v>
      </c>
      <c r="K45" s="24">
        <v>-1519</v>
      </c>
      <c r="L45" s="24" t="s">
        <v>149</v>
      </c>
      <c r="M45" s="25" t="s">
        <v>88</v>
      </c>
      <c r="N45" s="25"/>
      <c r="O45" s="26" t="s">
        <v>150</v>
      </c>
      <c r="P45" s="26" t="s">
        <v>151</v>
      </c>
    </row>
    <row r="46" spans="1:16" ht="12.75" customHeight="1" thickBot="1" x14ac:dyDescent="0.25">
      <c r="A46" s="6" t="str">
        <f t="shared" si="6"/>
        <v> AJ 62.373 </v>
      </c>
      <c r="B46" s="12" t="str">
        <f t="shared" si="7"/>
        <v>I</v>
      </c>
      <c r="C46" s="6">
        <f t="shared" si="8"/>
        <v>33121.902999999998</v>
      </c>
      <c r="D46" s="11" t="str">
        <f t="shared" si="9"/>
        <v>vis</v>
      </c>
      <c r="E46" s="23">
        <f>VLOOKUP(C46,Active!C$21:E$971,3,FALSE)</f>
        <v>-1459.9977853485091</v>
      </c>
      <c r="F46" s="12" t="s">
        <v>60</v>
      </c>
      <c r="G46" s="11" t="str">
        <f t="shared" si="10"/>
        <v>33121.903</v>
      </c>
      <c r="H46" s="6">
        <f t="shared" si="11"/>
        <v>-1460</v>
      </c>
      <c r="I46" s="24" t="s">
        <v>152</v>
      </c>
      <c r="J46" s="25" t="s">
        <v>153</v>
      </c>
      <c r="K46" s="24">
        <v>-1460</v>
      </c>
      <c r="L46" s="24" t="s">
        <v>154</v>
      </c>
      <c r="M46" s="25" t="s">
        <v>62</v>
      </c>
      <c r="N46" s="25"/>
      <c r="O46" s="26" t="s">
        <v>136</v>
      </c>
      <c r="P46" s="26" t="s">
        <v>141</v>
      </c>
    </row>
    <row r="47" spans="1:16" ht="12.75" customHeight="1" thickBot="1" x14ac:dyDescent="0.25">
      <c r="A47" s="6" t="str">
        <f t="shared" si="6"/>
        <v> AJ 62.373 </v>
      </c>
      <c r="B47" s="12" t="str">
        <f t="shared" si="7"/>
        <v>I</v>
      </c>
      <c r="C47" s="6">
        <f t="shared" si="8"/>
        <v>33909.779000000002</v>
      </c>
      <c r="D47" s="11" t="str">
        <f t="shared" si="9"/>
        <v>vis</v>
      </c>
      <c r="E47" s="23">
        <f>VLOOKUP(C47,Active!C$21:E$971,3,FALSE)</f>
        <v>-1317.9998395242762</v>
      </c>
      <c r="F47" s="12" t="s">
        <v>60</v>
      </c>
      <c r="G47" s="11" t="str">
        <f t="shared" si="10"/>
        <v>33909.779</v>
      </c>
      <c r="H47" s="6">
        <f t="shared" si="11"/>
        <v>-1318</v>
      </c>
      <c r="I47" s="24" t="s">
        <v>158</v>
      </c>
      <c r="J47" s="25" t="s">
        <v>159</v>
      </c>
      <c r="K47" s="24">
        <v>-1318</v>
      </c>
      <c r="L47" s="24" t="s">
        <v>160</v>
      </c>
      <c r="M47" s="25" t="s">
        <v>62</v>
      </c>
      <c r="N47" s="25"/>
      <c r="O47" s="26" t="s">
        <v>136</v>
      </c>
      <c r="P47" s="26" t="s">
        <v>141</v>
      </c>
    </row>
    <row r="48" spans="1:16" ht="12.75" customHeight="1" thickBot="1" x14ac:dyDescent="0.25">
      <c r="A48" s="6" t="str">
        <f t="shared" si="6"/>
        <v> AAC 5.53 </v>
      </c>
      <c r="B48" s="12" t="str">
        <f t="shared" si="7"/>
        <v>I</v>
      </c>
      <c r="C48" s="6">
        <f t="shared" si="8"/>
        <v>34220.502999999997</v>
      </c>
      <c r="D48" s="11" t="str">
        <f t="shared" si="9"/>
        <v>vis</v>
      </c>
      <c r="E48" s="23">
        <f>VLOOKUP(C48,Active!C$21:E$971,3,FALSE)</f>
        <v>-1261.998425953755</v>
      </c>
      <c r="F48" s="12" t="s">
        <v>60</v>
      </c>
      <c r="G48" s="11" t="str">
        <f t="shared" si="10"/>
        <v>34220.503</v>
      </c>
      <c r="H48" s="6">
        <f t="shared" si="11"/>
        <v>-1262</v>
      </c>
      <c r="I48" s="24" t="s">
        <v>161</v>
      </c>
      <c r="J48" s="25" t="s">
        <v>162</v>
      </c>
      <c r="K48" s="24">
        <v>-1262</v>
      </c>
      <c r="L48" s="24" t="s">
        <v>163</v>
      </c>
      <c r="M48" s="25" t="s">
        <v>88</v>
      </c>
      <c r="N48" s="25"/>
      <c r="O48" s="26" t="s">
        <v>150</v>
      </c>
      <c r="P48" s="26" t="s">
        <v>164</v>
      </c>
    </row>
    <row r="49" spans="1:16" ht="12.75" customHeight="1" thickBot="1" x14ac:dyDescent="0.25">
      <c r="A49" s="6" t="str">
        <f t="shared" si="6"/>
        <v> AJ 62.373 </v>
      </c>
      <c r="B49" s="12" t="str">
        <f t="shared" si="7"/>
        <v>I</v>
      </c>
      <c r="C49" s="6">
        <f t="shared" si="8"/>
        <v>34275.980000000003</v>
      </c>
      <c r="D49" s="11" t="str">
        <f t="shared" si="9"/>
        <v>vis</v>
      </c>
      <c r="E49" s="23">
        <f>VLOOKUP(C49,Active!C$21:E$971,3,FALSE)</f>
        <v>-1251.9998728305584</v>
      </c>
      <c r="F49" s="12" t="s">
        <v>60</v>
      </c>
      <c r="G49" s="11" t="str">
        <f t="shared" si="10"/>
        <v>34275.980</v>
      </c>
      <c r="H49" s="6">
        <f t="shared" si="11"/>
        <v>-1252</v>
      </c>
      <c r="I49" s="24" t="s">
        <v>165</v>
      </c>
      <c r="J49" s="25" t="s">
        <v>166</v>
      </c>
      <c r="K49" s="24">
        <v>-1252</v>
      </c>
      <c r="L49" s="24" t="s">
        <v>160</v>
      </c>
      <c r="M49" s="25" t="s">
        <v>62</v>
      </c>
      <c r="N49" s="25"/>
      <c r="O49" s="26" t="s">
        <v>136</v>
      </c>
      <c r="P49" s="26" t="s">
        <v>141</v>
      </c>
    </row>
    <row r="50" spans="1:16" ht="12.75" customHeight="1" thickBot="1" x14ac:dyDescent="0.25">
      <c r="A50" s="6" t="str">
        <f t="shared" si="6"/>
        <v> AAC 5.191 </v>
      </c>
      <c r="B50" s="12" t="str">
        <f t="shared" si="7"/>
        <v>I</v>
      </c>
      <c r="C50" s="6">
        <f t="shared" si="8"/>
        <v>34603.360999999997</v>
      </c>
      <c r="D50" s="11" t="str">
        <f t="shared" si="9"/>
        <v>vis</v>
      </c>
      <c r="E50" s="23">
        <f>VLOOKUP(C50,Active!C$21:E$971,3,FALSE)</f>
        <v>-1192.9963881427623</v>
      </c>
      <c r="F50" s="12" t="s">
        <v>60</v>
      </c>
      <c r="G50" s="11" t="str">
        <f t="shared" si="10"/>
        <v>34603.361</v>
      </c>
      <c r="H50" s="6">
        <f t="shared" si="11"/>
        <v>-1193</v>
      </c>
      <c r="I50" s="24" t="s">
        <v>167</v>
      </c>
      <c r="J50" s="25" t="s">
        <v>168</v>
      </c>
      <c r="K50" s="24">
        <v>-1193</v>
      </c>
      <c r="L50" s="24" t="s">
        <v>169</v>
      </c>
      <c r="M50" s="25" t="s">
        <v>88</v>
      </c>
      <c r="N50" s="25"/>
      <c r="O50" s="26" t="s">
        <v>150</v>
      </c>
      <c r="P50" s="26" t="s">
        <v>170</v>
      </c>
    </row>
    <row r="51" spans="1:16" ht="12.75" customHeight="1" thickBot="1" x14ac:dyDescent="0.25">
      <c r="A51" s="6" t="str">
        <f t="shared" si="6"/>
        <v> AJ 62.373 </v>
      </c>
      <c r="B51" s="12" t="str">
        <f t="shared" si="7"/>
        <v>I</v>
      </c>
      <c r="C51" s="6">
        <f t="shared" si="8"/>
        <v>34647.726999999999</v>
      </c>
      <c r="D51" s="11" t="str">
        <f t="shared" si="9"/>
        <v>vis</v>
      </c>
      <c r="E51" s="23">
        <f>VLOOKUP(C51,Active!C$21:E$971,3,FALSE)</f>
        <v>-1185.0003572134813</v>
      </c>
      <c r="F51" s="12" t="s">
        <v>60</v>
      </c>
      <c r="G51" s="11" t="str">
        <f t="shared" si="10"/>
        <v>34647.727</v>
      </c>
      <c r="H51" s="6">
        <f t="shared" si="11"/>
        <v>-1185</v>
      </c>
      <c r="I51" s="24" t="s">
        <v>171</v>
      </c>
      <c r="J51" s="25" t="s">
        <v>172</v>
      </c>
      <c r="K51" s="24">
        <v>-1185</v>
      </c>
      <c r="L51" s="24" t="s">
        <v>173</v>
      </c>
      <c r="M51" s="25" t="s">
        <v>62</v>
      </c>
      <c r="N51" s="25"/>
      <c r="O51" s="26" t="s">
        <v>136</v>
      </c>
      <c r="P51" s="26" t="s">
        <v>141</v>
      </c>
    </row>
    <row r="52" spans="1:16" ht="12.75" customHeight="1" thickBot="1" x14ac:dyDescent="0.25">
      <c r="A52" s="6" t="str">
        <f t="shared" si="6"/>
        <v> AAC 5.194 </v>
      </c>
      <c r="B52" s="12" t="str">
        <f t="shared" si="7"/>
        <v>I</v>
      </c>
      <c r="C52" s="6">
        <f t="shared" si="8"/>
        <v>35008.385999999999</v>
      </c>
      <c r="D52" s="11" t="str">
        <f t="shared" si="9"/>
        <v>vis</v>
      </c>
      <c r="E52" s="23">
        <f>VLOOKUP(C52,Active!C$21:E$971,3,FALSE)</f>
        <v>-1119.9992185279245</v>
      </c>
      <c r="F52" s="12" t="s">
        <v>60</v>
      </c>
      <c r="G52" s="11" t="str">
        <f t="shared" si="10"/>
        <v>35008.386</v>
      </c>
      <c r="H52" s="6">
        <f t="shared" si="11"/>
        <v>-1120</v>
      </c>
      <c r="I52" s="24" t="s">
        <v>174</v>
      </c>
      <c r="J52" s="25" t="s">
        <v>175</v>
      </c>
      <c r="K52" s="24">
        <v>-1120</v>
      </c>
      <c r="L52" s="24" t="s">
        <v>176</v>
      </c>
      <c r="M52" s="25" t="s">
        <v>88</v>
      </c>
      <c r="N52" s="25"/>
      <c r="O52" s="26" t="s">
        <v>150</v>
      </c>
      <c r="P52" s="26" t="s">
        <v>177</v>
      </c>
    </row>
    <row r="53" spans="1:16" ht="12.75" customHeight="1" thickBot="1" x14ac:dyDescent="0.25">
      <c r="A53" s="6" t="str">
        <f t="shared" si="6"/>
        <v> AJ 62.373 </v>
      </c>
      <c r="B53" s="12" t="str">
        <f t="shared" si="7"/>
        <v>I</v>
      </c>
      <c r="C53" s="6">
        <f t="shared" si="8"/>
        <v>35019.478000000003</v>
      </c>
      <c r="D53" s="11" t="str">
        <f t="shared" si="9"/>
        <v>vis</v>
      </c>
      <c r="E53" s="23">
        <f>VLOOKUP(C53,Active!C$21:E$971,3,FALSE)</f>
        <v>-1118.0001206812037</v>
      </c>
      <c r="F53" s="12" t="s">
        <v>60</v>
      </c>
      <c r="G53" s="11" t="str">
        <f t="shared" si="10"/>
        <v>35019.478</v>
      </c>
      <c r="H53" s="6">
        <f t="shared" si="11"/>
        <v>-1118</v>
      </c>
      <c r="I53" s="24" t="s">
        <v>178</v>
      </c>
      <c r="J53" s="25" t="s">
        <v>179</v>
      </c>
      <c r="K53" s="24">
        <v>-1118</v>
      </c>
      <c r="L53" s="24" t="s">
        <v>180</v>
      </c>
      <c r="M53" s="25" t="s">
        <v>62</v>
      </c>
      <c r="N53" s="25"/>
      <c r="O53" s="26" t="s">
        <v>136</v>
      </c>
      <c r="P53" s="26" t="s">
        <v>141</v>
      </c>
    </row>
    <row r="54" spans="1:16" ht="12.75" customHeight="1" thickBot="1" x14ac:dyDescent="0.25">
      <c r="A54" s="6" t="str">
        <f t="shared" si="6"/>
        <v> AA 6.143 </v>
      </c>
      <c r="B54" s="12" t="str">
        <f t="shared" si="7"/>
        <v>I</v>
      </c>
      <c r="C54" s="6">
        <f t="shared" si="8"/>
        <v>35341.294999999998</v>
      </c>
      <c r="D54" s="11" t="str">
        <f t="shared" si="9"/>
        <v>vis</v>
      </c>
      <c r="E54" s="23">
        <f>VLOOKUP(C54,Active!C$21:E$971,3,FALSE)</f>
        <v>-1059.9994290351626</v>
      </c>
      <c r="F54" s="12" t="s">
        <v>60</v>
      </c>
      <c r="G54" s="11" t="str">
        <f t="shared" si="10"/>
        <v>35341.295</v>
      </c>
      <c r="H54" s="6">
        <f t="shared" si="11"/>
        <v>-1060</v>
      </c>
      <c r="I54" s="24" t="s">
        <v>181</v>
      </c>
      <c r="J54" s="25" t="s">
        <v>182</v>
      </c>
      <c r="K54" s="24">
        <v>-1060</v>
      </c>
      <c r="L54" s="24" t="s">
        <v>149</v>
      </c>
      <c r="M54" s="25" t="s">
        <v>88</v>
      </c>
      <c r="N54" s="25"/>
      <c r="O54" s="26" t="s">
        <v>150</v>
      </c>
      <c r="P54" s="26" t="s">
        <v>183</v>
      </c>
    </row>
    <row r="55" spans="1:16" ht="12.75" customHeight="1" thickBot="1" x14ac:dyDescent="0.25">
      <c r="A55" s="6" t="str">
        <f t="shared" si="6"/>
        <v> AJ 62.373 </v>
      </c>
      <c r="B55" s="12" t="str">
        <f t="shared" si="7"/>
        <v>I</v>
      </c>
      <c r="C55" s="6">
        <f t="shared" si="8"/>
        <v>35424.525999999998</v>
      </c>
      <c r="D55" s="11" t="str">
        <f t="shared" si="9"/>
        <v>vis</v>
      </c>
      <c r="E55" s="23">
        <f>VLOOKUP(C55,Active!C$21:E$971,3,FALSE)</f>
        <v>-1044.9988058039733</v>
      </c>
      <c r="F55" s="12" t="s">
        <v>60</v>
      </c>
      <c r="G55" s="11" t="str">
        <f t="shared" si="10"/>
        <v>35424.526</v>
      </c>
      <c r="H55" s="6">
        <f t="shared" si="11"/>
        <v>-1045</v>
      </c>
      <c r="I55" s="24" t="s">
        <v>184</v>
      </c>
      <c r="J55" s="25" t="s">
        <v>185</v>
      </c>
      <c r="K55" s="24">
        <v>-1045</v>
      </c>
      <c r="L55" s="24" t="s">
        <v>186</v>
      </c>
      <c r="M55" s="25" t="s">
        <v>62</v>
      </c>
      <c r="N55" s="25"/>
      <c r="O55" s="26" t="s">
        <v>136</v>
      </c>
      <c r="P55" s="26" t="s">
        <v>141</v>
      </c>
    </row>
    <row r="56" spans="1:16" ht="12.75" customHeight="1" thickBot="1" x14ac:dyDescent="0.25">
      <c r="A56" s="6" t="str">
        <f t="shared" si="6"/>
        <v> AJ 62.373 </v>
      </c>
      <c r="B56" s="12" t="str">
        <f t="shared" si="7"/>
        <v>I</v>
      </c>
      <c r="C56" s="6">
        <f t="shared" si="8"/>
        <v>35679.75</v>
      </c>
      <c r="D56" s="11" t="str">
        <f t="shared" si="9"/>
        <v>vis</v>
      </c>
      <c r="E56" s="23">
        <f>VLOOKUP(C56,Active!C$21:E$971,3,FALSE)</f>
        <v>-999.00009061904052</v>
      </c>
      <c r="F56" s="12" t="s">
        <v>60</v>
      </c>
      <c r="G56" s="11" t="str">
        <f t="shared" si="10"/>
        <v>35679.750</v>
      </c>
      <c r="H56" s="6">
        <f t="shared" si="11"/>
        <v>-999</v>
      </c>
      <c r="I56" s="24" t="s">
        <v>187</v>
      </c>
      <c r="J56" s="25" t="s">
        <v>188</v>
      </c>
      <c r="K56" s="24">
        <v>-999</v>
      </c>
      <c r="L56" s="24" t="s">
        <v>180</v>
      </c>
      <c r="M56" s="25" t="s">
        <v>62</v>
      </c>
      <c r="N56" s="25"/>
      <c r="O56" s="26" t="s">
        <v>136</v>
      </c>
      <c r="P56" s="26" t="s">
        <v>141</v>
      </c>
    </row>
    <row r="57" spans="1:16" ht="12.75" customHeight="1" thickBot="1" x14ac:dyDescent="0.25">
      <c r="A57" s="6" t="str">
        <f t="shared" si="6"/>
        <v> AJ 62.373 </v>
      </c>
      <c r="B57" s="12" t="str">
        <f t="shared" si="7"/>
        <v>I</v>
      </c>
      <c r="C57" s="6">
        <f t="shared" si="8"/>
        <v>35729.697999999997</v>
      </c>
      <c r="D57" s="11" t="str">
        <f t="shared" si="9"/>
        <v>vis</v>
      </c>
      <c r="E57" s="23">
        <f>VLOOKUP(C57,Active!C$21:E$971,3,FALSE)</f>
        <v>-989.99802252960978</v>
      </c>
      <c r="F57" s="12" t="s">
        <v>60</v>
      </c>
      <c r="G57" s="11" t="str">
        <f t="shared" si="10"/>
        <v>35729.698</v>
      </c>
      <c r="H57" s="6">
        <f t="shared" si="11"/>
        <v>-990</v>
      </c>
      <c r="I57" s="24" t="s">
        <v>189</v>
      </c>
      <c r="J57" s="25" t="s">
        <v>190</v>
      </c>
      <c r="K57" s="24">
        <v>-990</v>
      </c>
      <c r="L57" s="24" t="s">
        <v>191</v>
      </c>
      <c r="M57" s="25" t="s">
        <v>62</v>
      </c>
      <c r="N57" s="25"/>
      <c r="O57" s="26" t="s">
        <v>136</v>
      </c>
      <c r="P57" s="26" t="s">
        <v>141</v>
      </c>
    </row>
    <row r="58" spans="1:16" ht="12.75" customHeight="1" thickBot="1" x14ac:dyDescent="0.25">
      <c r="A58" s="6" t="str">
        <f t="shared" si="6"/>
        <v> AJ 62.373 </v>
      </c>
      <c r="B58" s="12" t="str">
        <f t="shared" si="7"/>
        <v>I</v>
      </c>
      <c r="C58" s="6">
        <f t="shared" si="8"/>
        <v>35740.788</v>
      </c>
      <c r="D58" s="11" t="str">
        <f t="shared" si="9"/>
        <v>vis</v>
      </c>
      <c r="E58" s="23">
        <f>VLOOKUP(C58,Active!C$21:E$971,3,FALSE)</f>
        <v>-987.99928514048861</v>
      </c>
      <c r="F58" s="12" t="s">
        <v>60</v>
      </c>
      <c r="G58" s="11" t="str">
        <f t="shared" si="10"/>
        <v>35740.788</v>
      </c>
      <c r="H58" s="6">
        <f t="shared" si="11"/>
        <v>-988</v>
      </c>
      <c r="I58" s="24" t="s">
        <v>192</v>
      </c>
      <c r="J58" s="25" t="s">
        <v>193</v>
      </c>
      <c r="K58" s="24">
        <v>-988</v>
      </c>
      <c r="L58" s="24" t="s">
        <v>176</v>
      </c>
      <c r="M58" s="25" t="s">
        <v>62</v>
      </c>
      <c r="N58" s="25"/>
      <c r="O58" s="26" t="s">
        <v>136</v>
      </c>
      <c r="P58" s="26" t="s">
        <v>141</v>
      </c>
    </row>
    <row r="59" spans="1:16" ht="12.75" customHeight="1" thickBot="1" x14ac:dyDescent="0.25">
      <c r="A59" s="6" t="str">
        <f t="shared" si="6"/>
        <v> AA 7.190 </v>
      </c>
      <c r="B59" s="12" t="str">
        <f t="shared" si="7"/>
        <v>I</v>
      </c>
      <c r="C59" s="6">
        <f t="shared" si="8"/>
        <v>35746.339</v>
      </c>
      <c r="D59" s="11" t="str">
        <f t="shared" si="9"/>
        <v>vis</v>
      </c>
      <c r="E59" s="23">
        <f>VLOOKUP(C59,Active!C$21:E$971,3,FALSE)</f>
        <v>-986.99883507312995</v>
      </c>
      <c r="F59" s="12" t="s">
        <v>60</v>
      </c>
      <c r="G59" s="11" t="str">
        <f t="shared" si="10"/>
        <v>35746.339</v>
      </c>
      <c r="H59" s="6">
        <f t="shared" si="11"/>
        <v>-987</v>
      </c>
      <c r="I59" s="24" t="s">
        <v>194</v>
      </c>
      <c r="J59" s="25" t="s">
        <v>195</v>
      </c>
      <c r="K59" s="24">
        <v>-987</v>
      </c>
      <c r="L59" s="24" t="s">
        <v>196</v>
      </c>
      <c r="M59" s="25" t="s">
        <v>88</v>
      </c>
      <c r="N59" s="25"/>
      <c r="O59" s="26" t="s">
        <v>150</v>
      </c>
      <c r="P59" s="26" t="s">
        <v>197</v>
      </c>
    </row>
    <row r="60" spans="1:16" ht="12.75" customHeight="1" thickBot="1" x14ac:dyDescent="0.25">
      <c r="A60" s="6" t="str">
        <f t="shared" si="6"/>
        <v> MVS 3.170 </v>
      </c>
      <c r="B60" s="12" t="str">
        <f t="shared" si="7"/>
        <v>I</v>
      </c>
      <c r="C60" s="6">
        <f t="shared" si="8"/>
        <v>36112.461000000003</v>
      </c>
      <c r="D60" s="11" t="str">
        <f t="shared" si="9"/>
        <v>vis</v>
      </c>
      <c r="E60" s="23">
        <f>VLOOKUP(C60,Active!C$21:E$971,3,FALSE)</f>
        <v>-921.01310645459114</v>
      </c>
      <c r="F60" s="12" t="s">
        <v>60</v>
      </c>
      <c r="G60" s="11" t="str">
        <f t="shared" si="10"/>
        <v>36112.461</v>
      </c>
      <c r="H60" s="6">
        <f t="shared" si="11"/>
        <v>-921</v>
      </c>
      <c r="I60" s="24" t="s">
        <v>201</v>
      </c>
      <c r="J60" s="25" t="s">
        <v>202</v>
      </c>
      <c r="K60" s="24">
        <v>-921</v>
      </c>
      <c r="L60" s="24" t="s">
        <v>203</v>
      </c>
      <c r="M60" s="25" t="s">
        <v>66</v>
      </c>
      <c r="N60" s="25"/>
      <c r="O60" s="26" t="s">
        <v>204</v>
      </c>
      <c r="P60" s="26" t="s">
        <v>205</v>
      </c>
    </row>
    <row r="61" spans="1:16" ht="12.75" customHeight="1" thickBot="1" x14ac:dyDescent="0.25">
      <c r="A61" s="6" t="str">
        <f t="shared" si="6"/>
        <v> MVS 3.170 </v>
      </c>
      <c r="B61" s="12" t="str">
        <f t="shared" si="7"/>
        <v>I</v>
      </c>
      <c r="C61" s="6">
        <f t="shared" si="8"/>
        <v>36839.411</v>
      </c>
      <c r="D61" s="11" t="str">
        <f t="shared" si="9"/>
        <v>vis</v>
      </c>
      <c r="E61" s="23">
        <f>VLOOKUP(C61,Active!C$21:E$971,3,FALSE)</f>
        <v>-789.99578048334047</v>
      </c>
      <c r="F61" s="12" t="s">
        <v>60</v>
      </c>
      <c r="G61" s="11" t="str">
        <f t="shared" si="10"/>
        <v>36839.411</v>
      </c>
      <c r="H61" s="6">
        <f t="shared" si="11"/>
        <v>-790</v>
      </c>
      <c r="I61" s="24" t="s">
        <v>208</v>
      </c>
      <c r="J61" s="25" t="s">
        <v>209</v>
      </c>
      <c r="K61" s="24">
        <v>-790</v>
      </c>
      <c r="L61" s="24" t="s">
        <v>132</v>
      </c>
      <c r="M61" s="25" t="s">
        <v>66</v>
      </c>
      <c r="N61" s="25"/>
      <c r="O61" s="26" t="s">
        <v>204</v>
      </c>
      <c r="P61" s="26" t="s">
        <v>205</v>
      </c>
    </row>
    <row r="62" spans="1:16" ht="12.75" customHeight="1" thickBot="1" x14ac:dyDescent="0.25">
      <c r="A62" s="6" t="str">
        <f t="shared" si="6"/>
        <v> MVS 3.170 </v>
      </c>
      <c r="B62" s="12" t="str">
        <f t="shared" si="7"/>
        <v>I</v>
      </c>
      <c r="C62" s="6">
        <f t="shared" si="8"/>
        <v>38315.385000000002</v>
      </c>
      <c r="D62" s="11" t="str">
        <f t="shared" si="9"/>
        <v>vis</v>
      </c>
      <c r="E62" s="23">
        <f>VLOOKUP(C62,Active!C$21:E$971,3,FALSE)</f>
        <v>-523.98275801536909</v>
      </c>
      <c r="F62" s="12" t="s">
        <v>60</v>
      </c>
      <c r="G62" s="11" t="str">
        <f t="shared" si="10"/>
        <v>38315.385</v>
      </c>
      <c r="H62" s="6">
        <f t="shared" si="11"/>
        <v>-524</v>
      </c>
      <c r="I62" s="24" t="s">
        <v>215</v>
      </c>
      <c r="J62" s="25" t="s">
        <v>216</v>
      </c>
      <c r="K62" s="24">
        <v>-524</v>
      </c>
      <c r="L62" s="24" t="s">
        <v>217</v>
      </c>
      <c r="M62" s="25" t="s">
        <v>66</v>
      </c>
      <c r="N62" s="25"/>
      <c r="O62" s="26" t="s">
        <v>204</v>
      </c>
      <c r="P62" s="26" t="s">
        <v>205</v>
      </c>
    </row>
    <row r="63" spans="1:16" ht="12.75" customHeight="1" thickBot="1" x14ac:dyDescent="0.25">
      <c r="A63" s="6" t="str">
        <f t="shared" si="6"/>
        <v> AA 16.158 </v>
      </c>
      <c r="B63" s="12" t="str">
        <f t="shared" si="7"/>
        <v>I</v>
      </c>
      <c r="C63" s="6">
        <f t="shared" si="8"/>
        <v>38670.368999999999</v>
      </c>
      <c r="D63" s="11" t="str">
        <f t="shared" si="9"/>
        <v>vis</v>
      </c>
      <c r="E63" s="23">
        <f>VLOOKUP(C63,Active!C$21:E$971,3,FALSE)</f>
        <v>-460.00441776833941</v>
      </c>
      <c r="F63" s="12" t="s">
        <v>60</v>
      </c>
      <c r="G63" s="11" t="str">
        <f t="shared" si="10"/>
        <v>38670.369</v>
      </c>
      <c r="H63" s="6">
        <f t="shared" si="11"/>
        <v>-460</v>
      </c>
      <c r="I63" s="24" t="s">
        <v>218</v>
      </c>
      <c r="J63" s="25" t="s">
        <v>219</v>
      </c>
      <c r="K63" s="24">
        <v>-460</v>
      </c>
      <c r="L63" s="24" t="s">
        <v>220</v>
      </c>
      <c r="M63" s="25" t="s">
        <v>88</v>
      </c>
      <c r="N63" s="25"/>
      <c r="O63" s="26" t="s">
        <v>150</v>
      </c>
      <c r="P63" s="26" t="s">
        <v>221</v>
      </c>
    </row>
    <row r="64" spans="1:16" ht="12.75" customHeight="1" thickBot="1" x14ac:dyDescent="0.25">
      <c r="A64" s="6" t="str">
        <f t="shared" si="6"/>
        <v> MVS 3.170 </v>
      </c>
      <c r="B64" s="12" t="str">
        <f t="shared" si="7"/>
        <v>I</v>
      </c>
      <c r="C64" s="6">
        <f t="shared" si="8"/>
        <v>38670.409</v>
      </c>
      <c r="D64" s="11" t="str">
        <f t="shared" si="9"/>
        <v>vis</v>
      </c>
      <c r="E64" s="23">
        <f>VLOOKUP(C64,Active!C$21:E$971,3,FALSE)</f>
        <v>-459.99720861634961</v>
      </c>
      <c r="F64" s="12" t="s">
        <v>60</v>
      </c>
      <c r="G64" s="11" t="str">
        <f t="shared" si="10"/>
        <v>38670.409</v>
      </c>
      <c r="H64" s="6">
        <f t="shared" si="11"/>
        <v>-460</v>
      </c>
      <c r="I64" s="24" t="s">
        <v>222</v>
      </c>
      <c r="J64" s="25" t="s">
        <v>223</v>
      </c>
      <c r="K64" s="24">
        <v>-460</v>
      </c>
      <c r="L64" s="24" t="s">
        <v>224</v>
      </c>
      <c r="M64" s="25" t="s">
        <v>66</v>
      </c>
      <c r="N64" s="25"/>
      <c r="O64" s="26" t="s">
        <v>204</v>
      </c>
      <c r="P64" s="26" t="s">
        <v>205</v>
      </c>
    </row>
    <row r="65" spans="1:16" ht="12.75" customHeight="1" thickBot="1" x14ac:dyDescent="0.25">
      <c r="A65" s="6" t="str">
        <f t="shared" si="6"/>
        <v> MVS 3.170 </v>
      </c>
      <c r="B65" s="12" t="str">
        <f t="shared" si="7"/>
        <v>I</v>
      </c>
      <c r="C65" s="6">
        <f t="shared" si="8"/>
        <v>38709.326000000001</v>
      </c>
      <c r="D65" s="11" t="str">
        <f t="shared" si="9"/>
        <v>vis</v>
      </c>
      <c r="E65" s="23">
        <f>VLOOKUP(C65,Active!C$21:E$971,3,FALSE)</f>
        <v>-452.98324441685401</v>
      </c>
      <c r="F65" s="12" t="s">
        <v>60</v>
      </c>
      <c r="G65" s="11" t="str">
        <f t="shared" si="10"/>
        <v>38709.326</v>
      </c>
      <c r="H65" s="6">
        <f t="shared" si="11"/>
        <v>-453</v>
      </c>
      <c r="I65" s="24" t="s">
        <v>225</v>
      </c>
      <c r="J65" s="25" t="s">
        <v>226</v>
      </c>
      <c r="K65" s="24">
        <v>-453</v>
      </c>
      <c r="L65" s="24" t="s">
        <v>227</v>
      </c>
      <c r="M65" s="25" t="s">
        <v>66</v>
      </c>
      <c r="N65" s="25"/>
      <c r="O65" s="26" t="s">
        <v>204</v>
      </c>
      <c r="P65" s="26" t="s">
        <v>205</v>
      </c>
    </row>
    <row r="66" spans="1:16" ht="12.75" customHeight="1" thickBot="1" x14ac:dyDescent="0.25">
      <c r="A66" s="6" t="str">
        <f t="shared" si="6"/>
        <v> MVS 3.170 </v>
      </c>
      <c r="B66" s="12" t="str">
        <f t="shared" si="7"/>
        <v>I</v>
      </c>
      <c r="C66" s="6">
        <f t="shared" si="8"/>
        <v>39025.394999999997</v>
      </c>
      <c r="D66" s="11" t="str">
        <f t="shared" si="9"/>
        <v>vis</v>
      </c>
      <c r="E66" s="23">
        <f>VLOOKUP(C66,Active!C$21:E$971,3,FALSE)</f>
        <v>-396.01850791172041</v>
      </c>
      <c r="F66" s="12" t="s">
        <v>60</v>
      </c>
      <c r="G66" s="11" t="str">
        <f t="shared" si="10"/>
        <v>39025.395</v>
      </c>
      <c r="H66" s="6">
        <f t="shared" si="11"/>
        <v>-396</v>
      </c>
      <c r="I66" s="24" t="s">
        <v>228</v>
      </c>
      <c r="J66" s="25" t="s">
        <v>229</v>
      </c>
      <c r="K66" s="24">
        <v>-396</v>
      </c>
      <c r="L66" s="24" t="s">
        <v>230</v>
      </c>
      <c r="M66" s="25" t="s">
        <v>66</v>
      </c>
      <c r="N66" s="25"/>
      <c r="O66" s="26" t="s">
        <v>204</v>
      </c>
      <c r="P66" s="26" t="s">
        <v>205</v>
      </c>
    </row>
    <row r="67" spans="1:16" ht="12.75" customHeight="1" thickBot="1" x14ac:dyDescent="0.25">
      <c r="A67" s="6" t="str">
        <f t="shared" si="6"/>
        <v> MVS 3.170 </v>
      </c>
      <c r="B67" s="12" t="str">
        <f t="shared" si="7"/>
        <v>I</v>
      </c>
      <c r="C67" s="6">
        <f t="shared" si="8"/>
        <v>39053.364000000001</v>
      </c>
      <c r="D67" s="11" t="str">
        <f t="shared" si="9"/>
        <v>vis</v>
      </c>
      <c r="E67" s="23">
        <f>VLOOKUP(C67,Active!C$21:E$971,3,FALSE)</f>
        <v>-390.97768861178162</v>
      </c>
      <c r="F67" s="12" t="s">
        <v>60</v>
      </c>
      <c r="G67" s="11" t="str">
        <f t="shared" si="10"/>
        <v>39053.364</v>
      </c>
      <c r="H67" s="6">
        <f t="shared" si="11"/>
        <v>-391</v>
      </c>
      <c r="I67" s="24" t="s">
        <v>231</v>
      </c>
      <c r="J67" s="25" t="s">
        <v>232</v>
      </c>
      <c r="K67" s="24">
        <v>-391</v>
      </c>
      <c r="L67" s="24" t="s">
        <v>233</v>
      </c>
      <c r="M67" s="25" t="s">
        <v>66</v>
      </c>
      <c r="N67" s="25"/>
      <c r="O67" s="26" t="s">
        <v>204</v>
      </c>
      <c r="P67" s="26" t="s">
        <v>205</v>
      </c>
    </row>
    <row r="68" spans="1:16" ht="12.75" customHeight="1" thickBot="1" x14ac:dyDescent="0.25">
      <c r="A68" s="6" t="str">
        <f t="shared" si="6"/>
        <v> AVSJ 3.65 </v>
      </c>
      <c r="B68" s="12" t="str">
        <f t="shared" si="7"/>
        <v>I</v>
      </c>
      <c r="C68" s="6">
        <f t="shared" si="8"/>
        <v>40562.430999999997</v>
      </c>
      <c r="D68" s="11" t="str">
        <f t="shared" si="9"/>
        <v>vis</v>
      </c>
      <c r="E68" s="23">
        <f>VLOOKUP(C68,Active!C$21:E$971,3,FALSE)</f>
        <v>-119.00035447400381</v>
      </c>
      <c r="F68" s="12" t="s">
        <v>60</v>
      </c>
      <c r="G68" s="11" t="str">
        <f t="shared" si="10"/>
        <v>40562.431</v>
      </c>
      <c r="H68" s="6">
        <f t="shared" si="11"/>
        <v>-119</v>
      </c>
      <c r="I68" s="24" t="s">
        <v>237</v>
      </c>
      <c r="J68" s="25" t="s">
        <v>238</v>
      </c>
      <c r="K68" s="24">
        <v>-119</v>
      </c>
      <c r="L68" s="24" t="s">
        <v>173</v>
      </c>
      <c r="M68" s="25" t="s">
        <v>88</v>
      </c>
      <c r="N68" s="25"/>
      <c r="O68" s="26" t="s">
        <v>239</v>
      </c>
      <c r="P68" s="26" t="s">
        <v>240</v>
      </c>
    </row>
    <row r="69" spans="1:16" ht="12.75" customHeight="1" thickBot="1" x14ac:dyDescent="0.25">
      <c r="A69" s="6" t="str">
        <f t="shared" si="6"/>
        <v> AVSJ 7.38 </v>
      </c>
      <c r="B69" s="12" t="str">
        <f t="shared" si="7"/>
        <v>I</v>
      </c>
      <c r="C69" s="6">
        <f t="shared" si="8"/>
        <v>42632.046000000002</v>
      </c>
      <c r="D69" s="11" t="str">
        <f t="shared" si="9"/>
        <v>vis</v>
      </c>
      <c r="E69" s="23">
        <f>VLOOKUP(C69,Active!C$21:E$971,3,FALSE)</f>
        <v>254.00387290063233</v>
      </c>
      <c r="F69" s="12" t="s">
        <v>60</v>
      </c>
      <c r="G69" s="11" t="str">
        <f t="shared" si="10"/>
        <v>42632.046</v>
      </c>
      <c r="H69" s="6">
        <f t="shared" si="11"/>
        <v>254</v>
      </c>
      <c r="I69" s="24" t="s">
        <v>248</v>
      </c>
      <c r="J69" s="25" t="s">
        <v>249</v>
      </c>
      <c r="K69" s="24">
        <v>254</v>
      </c>
      <c r="L69" s="24" t="s">
        <v>250</v>
      </c>
      <c r="M69" s="25" t="s">
        <v>88</v>
      </c>
      <c r="N69" s="25"/>
      <c r="O69" s="26" t="s">
        <v>239</v>
      </c>
      <c r="P69" s="26" t="s">
        <v>251</v>
      </c>
    </row>
    <row r="70" spans="1:16" ht="12.75" customHeight="1" thickBot="1" x14ac:dyDescent="0.25">
      <c r="A70" s="6" t="str">
        <f t="shared" si="6"/>
        <v> AOEB 12 </v>
      </c>
      <c r="B70" s="12" t="str">
        <f t="shared" si="7"/>
        <v>I</v>
      </c>
      <c r="C70" s="6">
        <f t="shared" si="8"/>
        <v>45994.563999999998</v>
      </c>
      <c r="D70" s="11" t="str">
        <f t="shared" si="9"/>
        <v>vis</v>
      </c>
      <c r="E70" s="23">
        <f>VLOOKUP(C70,Active!C$21:E$971,3,FALSE)</f>
        <v>860.02645614597134</v>
      </c>
      <c r="F70" s="12" t="s">
        <v>60</v>
      </c>
      <c r="G70" s="11" t="str">
        <f t="shared" si="10"/>
        <v>45994.564</v>
      </c>
      <c r="H70" s="6">
        <f t="shared" si="11"/>
        <v>860</v>
      </c>
      <c r="I70" s="24" t="s">
        <v>252</v>
      </c>
      <c r="J70" s="25" t="s">
        <v>253</v>
      </c>
      <c r="K70" s="24">
        <v>860</v>
      </c>
      <c r="L70" s="24" t="s">
        <v>254</v>
      </c>
      <c r="M70" s="25" t="s">
        <v>88</v>
      </c>
      <c r="N70" s="25"/>
      <c r="O70" s="26" t="s">
        <v>255</v>
      </c>
      <c r="P70" s="26" t="s">
        <v>256</v>
      </c>
    </row>
    <row r="71" spans="1:16" ht="12.75" customHeight="1" thickBot="1" x14ac:dyDescent="0.25">
      <c r="A71" s="6" t="str">
        <f t="shared" si="6"/>
        <v> AOEB 12 </v>
      </c>
      <c r="B71" s="12" t="str">
        <f t="shared" si="7"/>
        <v>I</v>
      </c>
      <c r="C71" s="6">
        <f t="shared" si="8"/>
        <v>46316.392999999996</v>
      </c>
      <c r="D71" s="11" t="str">
        <f t="shared" si="9"/>
        <v>vis</v>
      </c>
      <c r="E71" s="23">
        <f>VLOOKUP(C71,Active!C$21:E$971,3,FALSE)</f>
        <v>918.02931053760972</v>
      </c>
      <c r="F71" s="12" t="s">
        <v>60</v>
      </c>
      <c r="G71" s="11" t="str">
        <f t="shared" si="10"/>
        <v>46316.393</v>
      </c>
      <c r="H71" s="6">
        <f t="shared" si="11"/>
        <v>918</v>
      </c>
      <c r="I71" s="24" t="s">
        <v>257</v>
      </c>
      <c r="J71" s="25" t="s">
        <v>258</v>
      </c>
      <c r="K71" s="24">
        <v>918</v>
      </c>
      <c r="L71" s="24" t="s">
        <v>259</v>
      </c>
      <c r="M71" s="25" t="s">
        <v>88</v>
      </c>
      <c r="N71" s="25"/>
      <c r="O71" s="26" t="s">
        <v>255</v>
      </c>
      <c r="P71" s="26" t="s">
        <v>256</v>
      </c>
    </row>
    <row r="72" spans="1:16" ht="12.75" customHeight="1" thickBot="1" x14ac:dyDescent="0.25">
      <c r="A72" s="6" t="str">
        <f t="shared" si="6"/>
        <v> AOEB 12 </v>
      </c>
      <c r="B72" s="12" t="str">
        <f t="shared" si="7"/>
        <v>I</v>
      </c>
      <c r="C72" s="6">
        <f t="shared" si="8"/>
        <v>46649.317000000003</v>
      </c>
      <c r="D72" s="11" t="str">
        <f t="shared" si="9"/>
        <v>vis</v>
      </c>
      <c r="E72" s="23">
        <f>VLOOKUP(C72,Active!C$21:E$971,3,FALSE)</f>
        <v>978.03180346236888</v>
      </c>
      <c r="F72" s="12" t="s">
        <v>60</v>
      </c>
      <c r="G72" s="11" t="str">
        <f t="shared" si="10"/>
        <v>46649.317</v>
      </c>
      <c r="H72" s="6">
        <f t="shared" si="11"/>
        <v>978</v>
      </c>
      <c r="I72" s="24" t="s">
        <v>260</v>
      </c>
      <c r="J72" s="25" t="s">
        <v>261</v>
      </c>
      <c r="K72" s="24">
        <v>978</v>
      </c>
      <c r="L72" s="24" t="s">
        <v>262</v>
      </c>
      <c r="M72" s="25" t="s">
        <v>88</v>
      </c>
      <c r="N72" s="25"/>
      <c r="O72" s="26" t="s">
        <v>255</v>
      </c>
      <c r="P72" s="26" t="s">
        <v>256</v>
      </c>
    </row>
    <row r="73" spans="1:16" ht="12.75" customHeight="1" thickBot="1" x14ac:dyDescent="0.25">
      <c r="A73" s="6" t="str">
        <f t="shared" si="6"/>
        <v> AOEB 12 </v>
      </c>
      <c r="B73" s="12" t="str">
        <f t="shared" si="7"/>
        <v>I</v>
      </c>
      <c r="C73" s="6">
        <f t="shared" si="8"/>
        <v>47442.767</v>
      </c>
      <c r="D73" s="11" t="str">
        <f t="shared" si="9"/>
        <v>vis</v>
      </c>
      <c r="E73" s="23">
        <f>VLOOKUP(C73,Active!C$21:E$971,3,FALSE)</f>
        <v>1121.0343446163531</v>
      </c>
      <c r="F73" s="12" t="s">
        <v>60</v>
      </c>
      <c r="G73" s="11" t="str">
        <f t="shared" si="10"/>
        <v>47442.767</v>
      </c>
      <c r="H73" s="6">
        <f t="shared" si="11"/>
        <v>1121</v>
      </c>
      <c r="I73" s="24" t="s">
        <v>263</v>
      </c>
      <c r="J73" s="25" t="s">
        <v>264</v>
      </c>
      <c r="K73" s="24">
        <v>1121</v>
      </c>
      <c r="L73" s="24" t="s">
        <v>265</v>
      </c>
      <c r="M73" s="25" t="s">
        <v>88</v>
      </c>
      <c r="N73" s="25"/>
      <c r="O73" s="26" t="s">
        <v>255</v>
      </c>
      <c r="P73" s="26" t="s">
        <v>256</v>
      </c>
    </row>
    <row r="74" spans="1:16" ht="12.75" customHeight="1" thickBot="1" x14ac:dyDescent="0.25">
      <c r="A74" s="6" t="str">
        <f t="shared" si="6"/>
        <v> AOEB 12 </v>
      </c>
      <c r="B74" s="12" t="str">
        <f t="shared" si="7"/>
        <v>I</v>
      </c>
      <c r="C74" s="6">
        <f t="shared" si="8"/>
        <v>47725.775000000001</v>
      </c>
      <c r="D74" s="11" t="str">
        <f t="shared" si="9"/>
        <v>vis</v>
      </c>
      <c r="E74" s="23">
        <f>VLOOKUP(C74,Active!C$21:E$971,3,FALSE)</f>
        <v>1172.0405367732719</v>
      </c>
      <c r="F74" s="12" t="s">
        <v>60</v>
      </c>
      <c r="G74" s="11" t="str">
        <f t="shared" si="10"/>
        <v>47725.775</v>
      </c>
      <c r="H74" s="6">
        <f t="shared" si="11"/>
        <v>1172</v>
      </c>
      <c r="I74" s="24" t="s">
        <v>266</v>
      </c>
      <c r="J74" s="25" t="s">
        <v>267</v>
      </c>
      <c r="K74" s="24">
        <v>1172</v>
      </c>
      <c r="L74" s="24" t="s">
        <v>268</v>
      </c>
      <c r="M74" s="25" t="s">
        <v>88</v>
      </c>
      <c r="N74" s="25"/>
      <c r="O74" s="26" t="s">
        <v>255</v>
      </c>
      <c r="P74" s="26" t="s">
        <v>256</v>
      </c>
    </row>
    <row r="75" spans="1:16" ht="12.75" customHeight="1" thickBot="1" x14ac:dyDescent="0.25">
      <c r="A75" s="6" t="str">
        <f t="shared" si="6"/>
        <v> AOEB 12 </v>
      </c>
      <c r="B75" s="12" t="str">
        <f t="shared" si="7"/>
        <v>I</v>
      </c>
      <c r="C75" s="6">
        <f t="shared" si="8"/>
        <v>49989.665000000001</v>
      </c>
      <c r="D75" s="11" t="str">
        <f t="shared" si="9"/>
        <v>vis</v>
      </c>
      <c r="E75" s="23">
        <f>VLOOKUP(C75,Active!C$21:E$971,3,FALSE)</f>
        <v>1580.0587142174645</v>
      </c>
      <c r="F75" s="12" t="s">
        <v>60</v>
      </c>
      <c r="G75" s="11" t="str">
        <f t="shared" si="10"/>
        <v>49989.665</v>
      </c>
      <c r="H75" s="6">
        <f t="shared" si="11"/>
        <v>1580</v>
      </c>
      <c r="I75" s="24" t="s">
        <v>274</v>
      </c>
      <c r="J75" s="25" t="s">
        <v>275</v>
      </c>
      <c r="K75" s="24">
        <v>1580</v>
      </c>
      <c r="L75" s="24" t="s">
        <v>276</v>
      </c>
      <c r="M75" s="25" t="s">
        <v>88</v>
      </c>
      <c r="N75" s="25"/>
      <c r="O75" s="26" t="s">
        <v>239</v>
      </c>
      <c r="P75" s="26" t="s">
        <v>256</v>
      </c>
    </row>
    <row r="76" spans="1:16" ht="12.75" customHeight="1" thickBot="1" x14ac:dyDescent="0.25">
      <c r="A76" s="6" t="str">
        <f t="shared" si="6"/>
        <v> AOEB 12 </v>
      </c>
      <c r="B76" s="12" t="str">
        <f t="shared" si="7"/>
        <v>I</v>
      </c>
      <c r="C76" s="6">
        <f t="shared" si="8"/>
        <v>51426.769</v>
      </c>
      <c r="D76" s="11" t="str">
        <f t="shared" si="9"/>
        <v>vis</v>
      </c>
      <c r="E76" s="23">
        <f>VLOOKUP(C76,Active!C$21:E$971,3,FALSE)</f>
        <v>1839.0662432395279</v>
      </c>
      <c r="F76" s="12" t="s">
        <v>60</v>
      </c>
      <c r="G76" s="11" t="str">
        <f t="shared" si="10"/>
        <v>51426.769</v>
      </c>
      <c r="H76" s="6">
        <f t="shared" si="11"/>
        <v>1839</v>
      </c>
      <c r="I76" s="24" t="s">
        <v>277</v>
      </c>
      <c r="J76" s="25" t="s">
        <v>278</v>
      </c>
      <c r="K76" s="24">
        <v>1839</v>
      </c>
      <c r="L76" s="24" t="s">
        <v>279</v>
      </c>
      <c r="M76" s="25" t="s">
        <v>88</v>
      </c>
      <c r="N76" s="25"/>
      <c r="O76" s="26" t="s">
        <v>239</v>
      </c>
      <c r="P76" s="26" t="s">
        <v>256</v>
      </c>
    </row>
    <row r="77" spans="1:16" ht="12.75" customHeight="1" thickBot="1" x14ac:dyDescent="0.25">
      <c r="A77" s="6" t="str">
        <f t="shared" si="6"/>
        <v> AOEB 12 </v>
      </c>
      <c r="B77" s="12" t="str">
        <f t="shared" si="7"/>
        <v>I</v>
      </c>
      <c r="C77" s="6">
        <f t="shared" si="8"/>
        <v>53635.156999999999</v>
      </c>
      <c r="D77" s="11" t="str">
        <f t="shared" si="9"/>
        <v>vis</v>
      </c>
      <c r="E77" s="23">
        <f>VLOOKUP(C77,Active!C$21:E$971,3,FALSE)</f>
        <v>2237.0813618405314</v>
      </c>
      <c r="F77" s="12" t="s">
        <v>60</v>
      </c>
      <c r="G77" s="11" t="str">
        <f t="shared" si="10"/>
        <v>53635.1570</v>
      </c>
      <c r="H77" s="6">
        <f t="shared" si="11"/>
        <v>2237</v>
      </c>
      <c r="I77" s="24" t="s">
        <v>280</v>
      </c>
      <c r="J77" s="25" t="s">
        <v>281</v>
      </c>
      <c r="K77" s="24">
        <v>2237</v>
      </c>
      <c r="L77" s="24" t="s">
        <v>282</v>
      </c>
      <c r="M77" s="25" t="s">
        <v>283</v>
      </c>
      <c r="N77" s="25" t="s">
        <v>284</v>
      </c>
      <c r="O77" s="26" t="s">
        <v>285</v>
      </c>
      <c r="P77" s="26" t="s">
        <v>256</v>
      </c>
    </row>
    <row r="78" spans="1:16" x14ac:dyDescent="0.2">
      <c r="B78" s="12"/>
      <c r="F78" s="12"/>
    </row>
    <row r="79" spans="1:16" x14ac:dyDescent="0.2">
      <c r="B79" s="12"/>
      <c r="F79" s="12"/>
    </row>
    <row r="80" spans="1:1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</sheetData>
  <phoneticPr fontId="8" type="noConversion"/>
  <hyperlinks>
    <hyperlink ref="P14" r:id="rId1" display="http://www.konkoly.hu/cgi-bin/IBVS?501" xr:uid="{00000000-0004-0000-0100-000000000000}"/>
    <hyperlink ref="P15" r:id="rId2" display="http://www.konkoly.hu/cgi-bin/IBVS?501" xr:uid="{00000000-0004-0000-0100-000001000000}"/>
    <hyperlink ref="P18" r:id="rId3" display="http://www.konkoly.hu/cgi-bin/IBVS?5917" xr:uid="{00000000-0004-0000-0100-000002000000}"/>
    <hyperlink ref="P19" r:id="rId4" display="http://www.aavso.org/sites/default/files/jaavso/v36n2/171.pdf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2024-03-01T05:47:52Z</dcterms:modified>
</cp:coreProperties>
</file>