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9BE09C8-A500-491E-AA2C-8586BBFFF3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8" i="1" l="1"/>
  <c r="C7" i="1"/>
  <c r="C8" i="1"/>
  <c r="E56" i="1"/>
  <c r="F56" i="1"/>
  <c r="G56" i="1"/>
  <c r="N56" i="1"/>
  <c r="E33" i="1"/>
  <c r="F33" i="1"/>
  <c r="G33" i="1"/>
  <c r="N33" i="1"/>
  <c r="E47" i="1"/>
  <c r="F47" i="1"/>
  <c r="G47" i="1"/>
  <c r="N47" i="1"/>
  <c r="E58" i="1"/>
  <c r="F58" i="1"/>
  <c r="U58" i="1"/>
  <c r="D9" i="1"/>
  <c r="C9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I31" i="1"/>
  <c r="E32" i="1"/>
  <c r="F32" i="1"/>
  <c r="G32" i="1"/>
  <c r="I32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J52" i="1"/>
  <c r="E53" i="1"/>
  <c r="F53" i="1"/>
  <c r="G53" i="1"/>
  <c r="J53" i="1"/>
  <c r="E54" i="1"/>
  <c r="F54" i="1"/>
  <c r="G54" i="1"/>
  <c r="J54" i="1"/>
  <c r="E57" i="1"/>
  <c r="F57" i="1"/>
  <c r="G57" i="1"/>
  <c r="I57" i="1"/>
  <c r="E59" i="1"/>
  <c r="F59" i="1"/>
  <c r="G59" i="1"/>
  <c r="I59" i="1"/>
  <c r="E27" i="1"/>
  <c r="F27" i="1"/>
  <c r="E34" i="1"/>
  <c r="F34" i="1"/>
  <c r="E48" i="1"/>
  <c r="F48" i="1"/>
  <c r="E55" i="1"/>
  <c r="F55" i="1"/>
  <c r="Q56" i="1"/>
  <c r="Q47" i="1"/>
  <c r="Q33" i="1"/>
  <c r="G36" i="2"/>
  <c r="C36" i="2"/>
  <c r="E36" i="2"/>
  <c r="C21" i="1"/>
  <c r="G40" i="2"/>
  <c r="C40" i="2"/>
  <c r="E40" i="2"/>
  <c r="G35" i="2"/>
  <c r="C35" i="2"/>
  <c r="E35" i="2"/>
  <c r="G39" i="2"/>
  <c r="C39" i="2"/>
  <c r="G34" i="2"/>
  <c r="C34" i="2"/>
  <c r="E34" i="2"/>
  <c r="G33" i="2"/>
  <c r="C33" i="2"/>
  <c r="E33" i="2"/>
  <c r="G32" i="2"/>
  <c r="C32" i="2"/>
  <c r="E32" i="2"/>
  <c r="G38" i="2"/>
  <c r="C38" i="2"/>
  <c r="E38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37" i="2"/>
  <c r="C37" i="2"/>
  <c r="E37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6" i="2"/>
  <c r="B36" i="2"/>
  <c r="D36" i="2"/>
  <c r="A36" i="2"/>
  <c r="H40" i="2"/>
  <c r="B40" i="2"/>
  <c r="D40" i="2"/>
  <c r="A40" i="2"/>
  <c r="H35" i="2"/>
  <c r="B35" i="2"/>
  <c r="D35" i="2"/>
  <c r="A35" i="2"/>
  <c r="H39" i="2"/>
  <c r="B39" i="2"/>
  <c r="D39" i="2"/>
  <c r="A39" i="2"/>
  <c r="H34" i="2"/>
  <c r="B34" i="2"/>
  <c r="D34" i="2"/>
  <c r="A34" i="2"/>
  <c r="H33" i="2"/>
  <c r="B33" i="2"/>
  <c r="D33" i="2"/>
  <c r="A33" i="2"/>
  <c r="H32" i="2"/>
  <c r="B32" i="2"/>
  <c r="D32" i="2"/>
  <c r="A32" i="2"/>
  <c r="H38" i="2"/>
  <c r="B38" i="2"/>
  <c r="D38" i="2"/>
  <c r="A38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37" i="2"/>
  <c r="B37" i="2"/>
  <c r="D37" i="2"/>
  <c r="A37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57" i="1"/>
  <c r="Q59" i="1"/>
  <c r="E21" i="1"/>
  <c r="F21" i="1"/>
  <c r="F16" i="1"/>
  <c r="F17" i="1" s="1"/>
  <c r="C17" i="1"/>
  <c r="Q28" i="1"/>
  <c r="Q29" i="1"/>
  <c r="Q30" i="1"/>
  <c r="Q52" i="1"/>
  <c r="Q53" i="1"/>
  <c r="Q54" i="1"/>
  <c r="Q27" i="1"/>
  <c r="Q48" i="1"/>
  <c r="Q55" i="1"/>
  <c r="Q50" i="1"/>
  <c r="Q51" i="1"/>
  <c r="Q32" i="1"/>
  <c r="Q44" i="1"/>
  <c r="Q45" i="1"/>
  <c r="Q46" i="1"/>
  <c r="Q49" i="1"/>
  <c r="Q36" i="1"/>
  <c r="Q37" i="1"/>
  <c r="Q38" i="1"/>
  <c r="Q39" i="1"/>
  <c r="Q40" i="1"/>
  <c r="Q41" i="1"/>
  <c r="Q42" i="1"/>
  <c r="Q43" i="1"/>
  <c r="Q23" i="1"/>
  <c r="Q22" i="1"/>
  <c r="Q24" i="1"/>
  <c r="Q25" i="1"/>
  <c r="Q26" i="1"/>
  <c r="Q31" i="1"/>
  <c r="Q35" i="1"/>
  <c r="Q34" i="1"/>
  <c r="Q21" i="1"/>
  <c r="E39" i="2"/>
  <c r="C11" i="1"/>
  <c r="C12" i="1"/>
  <c r="C16" i="1" l="1"/>
  <c r="D18" i="1" s="1"/>
  <c r="O39" i="1"/>
  <c r="O47" i="1"/>
  <c r="O28" i="1"/>
  <c r="O29" i="1"/>
  <c r="O38" i="1"/>
  <c r="O43" i="1"/>
  <c r="O30" i="1"/>
  <c r="O50" i="1"/>
  <c r="O48" i="1"/>
  <c r="O42" i="1"/>
  <c r="O25" i="1"/>
  <c r="O44" i="1"/>
  <c r="O45" i="1"/>
  <c r="O58" i="1"/>
  <c r="O35" i="1"/>
  <c r="O21" i="1"/>
  <c r="O36" i="1"/>
  <c r="O37" i="1"/>
  <c r="O33" i="1"/>
  <c r="O56" i="1"/>
  <c r="O27" i="1"/>
  <c r="O26" i="1"/>
  <c r="O59" i="1"/>
  <c r="C15" i="1"/>
  <c r="F18" i="1" s="1"/>
  <c r="O53" i="1"/>
  <c r="O24" i="1"/>
  <c r="O31" i="1"/>
  <c r="O49" i="1"/>
  <c r="O46" i="1"/>
  <c r="O23" i="1"/>
  <c r="O40" i="1"/>
  <c r="O41" i="1"/>
  <c r="O34" i="1"/>
  <c r="O55" i="1"/>
  <c r="O32" i="1"/>
  <c r="O57" i="1"/>
  <c r="O54" i="1"/>
  <c r="O52" i="1"/>
  <c r="O51" i="1"/>
  <c r="O22" i="1"/>
  <c r="F19" i="1" l="1"/>
  <c r="C18" i="1"/>
</calcChain>
</file>

<file path=xl/sharedStrings.xml><?xml version="1.0" encoding="utf-8"?>
<sst xmlns="http://schemas.openxmlformats.org/spreadsheetml/2006/main" count="367" uniqueCount="199">
  <si>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</si>
  <si>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</si>
  <si>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</si>
  <si>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</si>
  <si>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</si>
  <si>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</si>
  <si>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</si>
  <si>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</si>
  <si>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</si>
  <si>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</si>
  <si>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</si>
  <si>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</si>
  <si>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</si>
  <si>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</si>
  <si>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</si>
  <si>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</si>
  <si>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</si>
  <si>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</si>
  <si>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</si>
  <si>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</si>
  <si>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</si>
  <si>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</si>
  <si>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</si>
  <si>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</si>
  <si>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</si>
  <si>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</si>
  <si>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</si>
  <si>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</si>
  <si>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</si>
  <si>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E</t>
  </si>
  <si>
    <t>IBVS 4888</t>
  </si>
  <si>
    <t>IBVS 5263</t>
  </si>
  <si>
    <t>I</t>
  </si>
  <si>
    <t>IBVS 5583</t>
  </si>
  <si>
    <t>IBVS 5643</t>
  </si>
  <si>
    <t>IBVS 5484</t>
  </si>
  <si>
    <t>IBVS 4887</t>
  </si>
  <si>
    <t>IBVS 5657</t>
  </si>
  <si>
    <t># of data points:</t>
  </si>
  <si>
    <t>IBVS 5731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</si>
  <si>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</si>
  <si>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</si>
  <si>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</si>
  <si>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</si>
  <si>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</si>
  <si>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</si>
  <si>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</si>
  <si>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IBVS 5802</t>
  </si>
  <si>
    <t>Start of linear fit &gt;&gt;&gt;&gt;&gt;&gt;&gt;&gt;&gt;&gt;&gt;&gt;&gt;&gt;&gt;&gt;&gt;&gt;&gt;&gt;&gt;</t>
  </si>
  <si>
    <t>OEJV 0074</t>
  </si>
  <si>
    <t>OEJV 0094</t>
  </si>
  <si>
    <t>BAD</t>
  </si>
  <si>
    <t>Add cycle</t>
  </si>
  <si>
    <t>Old Cycle</t>
  </si>
  <si>
    <t>IBVS 6011</t>
  </si>
  <si>
    <t>CE Peg / GSC 2193-1640</t>
  </si>
  <si>
    <t>IBVS 5984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</si>
  <si>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</si>
  <si>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</si>
  <si>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</si>
  <si>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</si>
  <si>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</si>
  <si>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</si>
  <si>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</si>
  <si>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</si>
  <si>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</si>
  <si>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</si>
  <si>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2450030.3720 </t>
  </si>
  <si>
    <t> 08.11.1995 20:55 </t>
  </si>
  <si>
    <t> 0.0767 </t>
  </si>
  <si>
    <t>E </t>
  </si>
  <si>
    <t>?</t>
  </si>
  <si>
    <t> E.Safarova </t>
  </si>
  <si>
    <t>IBVS 4887 </t>
  </si>
  <si>
    <t>2450660.5290 </t>
  </si>
  <si>
    <t> 31.07.1997 00:41 </t>
  </si>
  <si>
    <t> 0.0911 </t>
  </si>
  <si>
    <t> J.Safar </t>
  </si>
  <si>
    <t>2451043.5017 </t>
  </si>
  <si>
    <t> 18.08.1998 00:02 </t>
  </si>
  <si>
    <t> 0.0988 </t>
  </si>
  <si>
    <t>IBVS 4888 </t>
  </si>
  <si>
    <t>2451465.3019 </t>
  </si>
  <si>
    <t> 13.10.1999 19:14 </t>
  </si>
  <si>
    <t> 0.0919 </t>
  </si>
  <si>
    <t> M.Zejda </t>
  </si>
  <si>
    <t>IBVS 5263 </t>
  </si>
  <si>
    <t>2451535.2888 </t>
  </si>
  <si>
    <t> 22.12.1999 18:55 </t>
  </si>
  <si>
    <t> 0.0986 </t>
  </si>
  <si>
    <t>2451780.54280 </t>
  </si>
  <si>
    <t> 24.08.2000 01:01 </t>
  </si>
  <si>
    <t> 0.10099 </t>
  </si>
  <si>
    <t>C </t>
  </si>
  <si>
    <t>o</t>
  </si>
  <si>
    <t> J.Šafár </t>
  </si>
  <si>
    <t>OEJV 0074 </t>
  </si>
  <si>
    <t>2451838.32469 </t>
  </si>
  <si>
    <t> 20.10.2000 19:47 </t>
  </si>
  <si>
    <t> 0.10108 </t>
  </si>
  <si>
    <t>2451899.32046 </t>
  </si>
  <si>
    <t> 20.12.2000 19:41 </t>
  </si>
  <si>
    <t> 0.10495 </t>
  </si>
  <si>
    <t>2452062.3874 </t>
  </si>
  <si>
    <t> 01.06.2001 21:17 </t>
  </si>
  <si>
    <t>IBVS 5583 </t>
  </si>
  <si>
    <t>2452144.5722 </t>
  </si>
  <si>
    <t> 23.08.2001 01:43 </t>
  </si>
  <si>
    <t> 0.1050 </t>
  </si>
  <si>
    <t> R.Diethelm </t>
  </si>
  <si>
    <t> BBS 126 </t>
  </si>
  <si>
    <t>2452929.4523 </t>
  </si>
  <si>
    <t> 16.10.2003 22:51 </t>
  </si>
  <si>
    <t> 0.1157 </t>
  </si>
  <si>
    <t> F.Agerer </t>
  </si>
  <si>
    <t>BAVM 172 </t>
  </si>
  <si>
    <t>2453216.4383 </t>
  </si>
  <si>
    <t> 29.07.2004 22:31 </t>
  </si>
  <si>
    <t> 0.1188 </t>
  </si>
  <si>
    <t>BAVM 173 </t>
  </si>
  <si>
    <t>2453222.5437 </t>
  </si>
  <si>
    <t> 05.08.2004 01:02 </t>
  </si>
  <si>
    <t> 0.1250 </t>
  </si>
  <si>
    <t>2453233.4556 </t>
  </si>
  <si>
    <t> 15.08.2004 22:56 </t>
  </si>
  <si>
    <t> 0.1225 </t>
  </si>
  <si>
    <t>2453242.4442 </t>
  </si>
  <si>
    <t> 24.08.2004 22:39 </t>
  </si>
  <si>
    <t> 0.1228 </t>
  </si>
  <si>
    <t>2453250.4697 </t>
  </si>
  <si>
    <t> 01.09.2004 23:16 </t>
  </si>
  <si>
    <t> 0.1231 </t>
  </si>
  <si>
    <t>2453251.4318 </t>
  </si>
  <si>
    <t> 02.09.2004 22:21 </t>
  </si>
  <si>
    <t> 0.1222 </t>
  </si>
  <si>
    <t>2453257.5378 </t>
  </si>
  <si>
    <t> 09.09.2004 00:54 </t>
  </si>
  <si>
    <t> 0.1290 </t>
  </si>
  <si>
    <t>2453284.4996 </t>
  </si>
  <si>
    <t> 05.10.2004 23:59 </t>
  </si>
  <si>
    <t> 0.1259 </t>
  </si>
  <si>
    <t>-I</t>
  </si>
  <si>
    <t>2453341.3138 </t>
  </si>
  <si>
    <t> 01.12.2004 19:31 </t>
  </si>
  <si>
    <t>44471.5</t>
  </si>
  <si>
    <t> 0.1214 </t>
  </si>
  <si>
    <t> E.Blättler </t>
  </si>
  <si>
    <t>IBVS 5653 </t>
  </si>
  <si>
    <t>2453341.317 </t>
  </si>
  <si>
    <t> 01.12.2004 19:36 </t>
  </si>
  <si>
    <t> 0.125 </t>
  </si>
  <si>
    <t>2453613.5379 </t>
  </si>
  <si>
    <t> 31.08.2005 00:54 </t>
  </si>
  <si>
    <t>44895.5</t>
  </si>
  <si>
    <t>BAVM 178 </t>
  </si>
  <si>
    <t>2453613.5381 </t>
  </si>
  <si>
    <t> 0.1292 </t>
  </si>
  <si>
    <t> M.Zejda et al. </t>
  </si>
  <si>
    <t>IBVS 5741 </t>
  </si>
  <si>
    <t>2453651.4164 </t>
  </si>
  <si>
    <t> 07.10.2005 21:59 </t>
  </si>
  <si>
    <t>44954.5</t>
  </si>
  <si>
    <t> 0.1283 </t>
  </si>
  <si>
    <t>2453936.4777 </t>
  </si>
  <si>
    <t> 19.07.2006 23:27 </t>
  </si>
  <si>
    <t>45398.5</t>
  </si>
  <si>
    <t> 0.1327 </t>
  </si>
  <si>
    <t> W.Moschner </t>
  </si>
  <si>
    <t>BAVM 183 </t>
  </si>
  <si>
    <t>2453936.4783 </t>
  </si>
  <si>
    <t> 19.07.2006 23:28 </t>
  </si>
  <si>
    <t> 0.1333 </t>
  </si>
  <si>
    <t> K.&amp; M.Rätz </t>
  </si>
  <si>
    <t>BAVM 186 </t>
  </si>
  <si>
    <t>2455048.4709 </t>
  </si>
  <si>
    <t> 04.08.2009 23:18 </t>
  </si>
  <si>
    <t>47130.5</t>
  </si>
  <si>
    <t> 0.1473 </t>
  </si>
  <si>
    <t> Moschner &amp; Frank </t>
  </si>
  <si>
    <t>BAVM 212 </t>
  </si>
  <si>
    <t>2455428.5524 </t>
  </si>
  <si>
    <t> 20.08.2010 01:15 </t>
  </si>
  <si>
    <t>47722.5</t>
  </si>
  <si>
    <t> 0.1530 </t>
  </si>
  <si>
    <t> U.Schmidt </t>
  </si>
  <si>
    <t>BAVM 215 </t>
  </si>
  <si>
    <t>2455806.3898 </t>
  </si>
  <si>
    <t> 01.09.2011 21:21 </t>
  </si>
  <si>
    <t>48311</t>
  </si>
  <si>
    <t> 0.1616 </t>
  </si>
  <si>
    <t>BAVM 225 </t>
  </si>
  <si>
    <t>2455849.7277 </t>
  </si>
  <si>
    <t> 15.10.2011 05:27 </t>
  </si>
  <si>
    <t>48378.5</t>
  </si>
  <si>
    <t> 0.1631 </t>
  </si>
  <si>
    <t>IBVS 6011 </t>
  </si>
  <si>
    <t>II</t>
  </si>
  <si>
    <t>CCD?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</si>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</sst>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1" applyNumberFormat="0" applyFont="0" applyFill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1" fillId="2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9" fillId="3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Peg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5-4C3A-975B-09448DEDC6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7.6710000008461066E-2</c:v>
                </c:pt>
                <c:pt idx="2">
                  <c:v>9.1080000005604234E-2</c:v>
                </c:pt>
                <c:pt idx="3">
                  <c:v>9.88500000021304E-2</c:v>
                </c:pt>
                <c:pt idx="4">
                  <c:v>9.1909999995550606E-2</c:v>
                </c:pt>
                <c:pt idx="5">
                  <c:v>9.863000000041211E-2</c:v>
                </c:pt>
                <c:pt idx="10">
                  <c:v>9.8810000003140885E-2</c:v>
                </c:pt>
                <c:pt idx="11">
                  <c:v>9.8810000003140885E-2</c:v>
                </c:pt>
                <c:pt idx="14">
                  <c:v>0.11570000000210712</c:v>
                </c:pt>
                <c:pt idx="15">
                  <c:v>0.11876000000484055</c:v>
                </c:pt>
                <c:pt idx="16">
                  <c:v>0.12496999999711988</c:v>
                </c:pt>
                <c:pt idx="17">
                  <c:v>0.12253000000055181</c:v>
                </c:pt>
                <c:pt idx="18">
                  <c:v>0.12284999999974389</c:v>
                </c:pt>
                <c:pt idx="19">
                  <c:v>0.12309999999706633</c:v>
                </c:pt>
                <c:pt idx="20">
                  <c:v>0.12216999999509426</c:v>
                </c:pt>
                <c:pt idx="21">
                  <c:v>0.12898000000132015</c:v>
                </c:pt>
                <c:pt idx="22">
                  <c:v>0.12594000000535743</c:v>
                </c:pt>
                <c:pt idx="23">
                  <c:v>0.121370000008028</c:v>
                </c:pt>
                <c:pt idx="24">
                  <c:v>0.12457000000722473</c:v>
                </c:pt>
                <c:pt idx="25">
                  <c:v>0.12899000000470551</c:v>
                </c:pt>
                <c:pt idx="28">
                  <c:v>0.12831000000005588</c:v>
                </c:pt>
                <c:pt idx="29">
                  <c:v>0.13272999999753665</c:v>
                </c:pt>
                <c:pt idx="30">
                  <c:v>0.13332999999693129</c:v>
                </c:pt>
                <c:pt idx="36">
                  <c:v>0.15295000000332948</c:v>
                </c:pt>
                <c:pt idx="38">
                  <c:v>0.16313000000081956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55-4C3A-975B-09448DEDC6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0.10098999999900116</c:v>
                </c:pt>
                <c:pt idx="8">
                  <c:v>0.10108000000036554</c:v>
                </c:pt>
                <c:pt idx="9">
                  <c:v>0.10495000000082655</c:v>
                </c:pt>
                <c:pt idx="31">
                  <c:v>0.13094999999884749</c:v>
                </c:pt>
                <c:pt idx="32">
                  <c:v>0.13104999999632128</c:v>
                </c:pt>
                <c:pt idx="33">
                  <c:v>0.13104999999632128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55-4C3A-975B-09448DEDC6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55-4C3A-975B-09448DEDC6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55-4C3A-975B-09448DEDC6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55-4C3A-975B-09448DEDC6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2">
                  <c:v>0.10505000000557629</c:v>
                </c:pt>
                <c:pt idx="26">
                  <c:v>0.12918999999965308</c:v>
                </c:pt>
                <c:pt idx="35">
                  <c:v>0.14729000000079395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55-4C3A-975B-09448DEDC6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-0.27324127996085179</c:v>
                </c:pt>
                <c:pt idx="1">
                  <c:v>7.7278878965306941E-2</c:v>
                </c:pt>
                <c:pt idx="2">
                  <c:v>8.602973516304635E-2</c:v>
                </c:pt>
                <c:pt idx="3">
                  <c:v>9.1348008950057569E-2</c:v>
                </c:pt>
                <c:pt idx="4">
                  <c:v>9.7205688544468982E-2</c:v>
                </c:pt>
                <c:pt idx="5">
                  <c:v>9.8177510577636129E-2</c:v>
                </c:pt>
                <c:pt idx="6">
                  <c:v>0.10025043372177717</c:v>
                </c:pt>
                <c:pt idx="7">
                  <c:v>0.10158334559295601</c:v>
                </c:pt>
                <c:pt idx="8">
                  <c:v>0.10238576745520417</c:v>
                </c:pt>
                <c:pt idx="9">
                  <c:v>0.10323276830979938</c:v>
                </c:pt>
                <c:pt idx="10">
                  <c:v>0.10549738112103302</c:v>
                </c:pt>
                <c:pt idx="11">
                  <c:v>0.10549738112103302</c:v>
                </c:pt>
                <c:pt idx="12">
                  <c:v>0.10663860332511926</c:v>
                </c:pt>
                <c:pt idx="13">
                  <c:v>0.11165373996417011</c:v>
                </c:pt>
                <c:pt idx="14">
                  <c:v>0.11753816695398978</c:v>
                </c:pt>
                <c:pt idx="15">
                  <c:v>0.12152352886982215</c:v>
                </c:pt>
                <c:pt idx="16">
                  <c:v>0.12160822895528167</c:v>
                </c:pt>
                <c:pt idx="17">
                  <c:v>0.12175979752926192</c:v>
                </c:pt>
                <c:pt idx="18">
                  <c:v>0.12188461870783385</c:v>
                </c:pt>
                <c:pt idx="19">
                  <c:v>0.12199606618870162</c:v>
                </c:pt>
                <c:pt idx="20">
                  <c:v>0.12200943988640578</c:v>
                </c:pt>
                <c:pt idx="21">
                  <c:v>0.1220941399718653</c:v>
                </c:pt>
                <c:pt idx="22">
                  <c:v>0.1224686035075811</c:v>
                </c:pt>
                <c:pt idx="23">
                  <c:v>0.12325765167212505</c:v>
                </c:pt>
                <c:pt idx="24">
                  <c:v>0.12325765167212505</c:v>
                </c:pt>
                <c:pt idx="25">
                  <c:v>0.12703795022316072</c:v>
                </c:pt>
                <c:pt idx="26">
                  <c:v>0.12703795022316072</c:v>
                </c:pt>
                <c:pt idx="27">
                  <c:v>0.12707807131627313</c:v>
                </c:pt>
                <c:pt idx="28">
                  <c:v>0.12756398233285671</c:v>
                </c:pt>
                <c:pt idx="29">
                  <c:v>0.13152259685328088</c:v>
                </c:pt>
                <c:pt idx="30">
                  <c:v>0.13152259685328088</c:v>
                </c:pt>
                <c:pt idx="31">
                  <c:v>0.1368408706402921</c:v>
                </c:pt>
                <c:pt idx="32">
                  <c:v>0.1368408706402921</c:v>
                </c:pt>
                <c:pt idx="33">
                  <c:v>0.1368408706402921</c:v>
                </c:pt>
                <c:pt idx="34">
                  <c:v>0.13760762930866255</c:v>
                </c:pt>
                <c:pt idx="35">
                  <c:v>0.14696475980232276</c:v>
                </c:pt>
                <c:pt idx="36">
                  <c:v>0.15224291249622157</c:v>
                </c:pt>
                <c:pt idx="37">
                  <c:v>0.15749431779471212</c:v>
                </c:pt>
                <c:pt idx="38">
                  <c:v>0.15809167629216353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55-4C3A-975B-09448DED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77448"/>
        <c:axId val="1"/>
      </c:scatterChart>
      <c:valAx>
        <c:axId val="530777448"/>
        <c:scaling>
          <c:orientation val="minMax"/>
          <c:min val="3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77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73298764483702"/>
          <c:w val="0.72859501609148614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Peg - O-C Diagr.</a:t>
            </a:r>
          </a:p>
        </c:rich>
      </c:tx>
      <c:layout>
        <c:manualLayout>
          <c:xMode val="edge"/>
          <c:yMode val="edge"/>
          <c:x val="0.3741835211774998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15708958379542"/>
          <c:y val="0.1458966565349544"/>
          <c:w val="0.8071908305102866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D-45FE-A3E6-052B2D8540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7.6710000008461066E-2</c:v>
                </c:pt>
                <c:pt idx="2">
                  <c:v>9.1080000005604234E-2</c:v>
                </c:pt>
                <c:pt idx="3">
                  <c:v>9.88500000021304E-2</c:v>
                </c:pt>
                <c:pt idx="4">
                  <c:v>9.1909999995550606E-2</c:v>
                </c:pt>
                <c:pt idx="5">
                  <c:v>9.863000000041211E-2</c:v>
                </c:pt>
                <c:pt idx="10">
                  <c:v>9.8810000003140885E-2</c:v>
                </c:pt>
                <c:pt idx="11">
                  <c:v>9.8810000003140885E-2</c:v>
                </c:pt>
                <c:pt idx="14">
                  <c:v>0.11570000000210712</c:v>
                </c:pt>
                <c:pt idx="15">
                  <c:v>0.11876000000484055</c:v>
                </c:pt>
                <c:pt idx="16">
                  <c:v>0.12496999999711988</c:v>
                </c:pt>
                <c:pt idx="17">
                  <c:v>0.12253000000055181</c:v>
                </c:pt>
                <c:pt idx="18">
                  <c:v>0.12284999999974389</c:v>
                </c:pt>
                <c:pt idx="19">
                  <c:v>0.12309999999706633</c:v>
                </c:pt>
                <c:pt idx="20">
                  <c:v>0.12216999999509426</c:v>
                </c:pt>
                <c:pt idx="21">
                  <c:v>0.12898000000132015</c:v>
                </c:pt>
                <c:pt idx="22">
                  <c:v>0.12594000000535743</c:v>
                </c:pt>
                <c:pt idx="23">
                  <c:v>0.121370000008028</c:v>
                </c:pt>
                <c:pt idx="24">
                  <c:v>0.12457000000722473</c:v>
                </c:pt>
                <c:pt idx="25">
                  <c:v>0.12899000000470551</c:v>
                </c:pt>
                <c:pt idx="28">
                  <c:v>0.12831000000005588</c:v>
                </c:pt>
                <c:pt idx="29">
                  <c:v>0.13272999999753665</c:v>
                </c:pt>
                <c:pt idx="30">
                  <c:v>0.13332999999693129</c:v>
                </c:pt>
                <c:pt idx="36">
                  <c:v>0.15295000000332948</c:v>
                </c:pt>
                <c:pt idx="38">
                  <c:v>0.16313000000081956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2D-45FE-A3E6-052B2D8540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7">
                  <c:v>0.10098999999900116</c:v>
                </c:pt>
                <c:pt idx="8">
                  <c:v>0.10108000000036554</c:v>
                </c:pt>
                <c:pt idx="9">
                  <c:v>0.10495000000082655</c:v>
                </c:pt>
                <c:pt idx="31">
                  <c:v>0.13094999999884749</c:v>
                </c:pt>
                <c:pt idx="32">
                  <c:v>0.13104999999632128</c:v>
                </c:pt>
                <c:pt idx="33">
                  <c:v>0.13104999999632128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2D-45FE-A3E6-052B2D8540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2D-45FE-A3E6-052B2D8540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2D-45FE-A3E6-052B2D8540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2D-45FE-A3E6-052B2D8540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5.5999999999999999E-3</c:v>
                  </c:pt>
                  <c:pt idx="3">
                    <c:v>5.0000000000000001E-4</c:v>
                  </c:pt>
                  <c:pt idx="4">
                    <c:v>3.0000000000000001E-3</c:v>
                  </c:pt>
                  <c:pt idx="5">
                    <c:v>6.3E-3</c:v>
                  </c:pt>
                  <c:pt idx="6">
                    <c:v>2.8999999999999998E-3</c:v>
                  </c:pt>
                  <c:pt idx="7">
                    <c:v>2.8999999999999998E-3</c:v>
                  </c:pt>
                  <c:pt idx="8">
                    <c:v>3.0000000000000001E-3</c:v>
                  </c:pt>
                  <c:pt idx="9">
                    <c:v>1.1000000000000001E-3</c:v>
                  </c:pt>
                  <c:pt idx="10">
                    <c:v>6.7000000000000002E-3</c:v>
                  </c:pt>
                  <c:pt idx="11">
                    <c:v>6.7000000000000002E-3</c:v>
                  </c:pt>
                  <c:pt idx="13">
                    <c:v>3.3999999999999998E-3</c:v>
                  </c:pt>
                  <c:pt idx="15">
                    <c:v>2.2000000000000001E-3</c:v>
                  </c:pt>
                  <c:pt idx="16">
                    <c:v>2.3E-3</c:v>
                  </c:pt>
                  <c:pt idx="17">
                    <c:v>1.2999999999999999E-3</c:v>
                  </c:pt>
                  <c:pt idx="18">
                    <c:v>1.1000000000000001E-3</c:v>
                  </c:pt>
                  <c:pt idx="19">
                    <c:v>2.2000000000000001E-3</c:v>
                  </c:pt>
                  <c:pt idx="20">
                    <c:v>2.7000000000000001E-3</c:v>
                  </c:pt>
                  <c:pt idx="21">
                    <c:v>6.9999999999999999E-4</c:v>
                  </c:pt>
                  <c:pt idx="22">
                    <c:v>6.9999999999999999E-4</c:v>
                  </c:pt>
                  <c:pt idx="23">
                    <c:v>8.0000000000000004E-4</c:v>
                  </c:pt>
                  <c:pt idx="24">
                    <c:v>5.0000000000000001E-3</c:v>
                  </c:pt>
                  <c:pt idx="25">
                    <c:v>6.9999999999999999E-4</c:v>
                  </c:pt>
                  <c:pt idx="27">
                    <c:v>4.0000000000000002E-4</c:v>
                  </c:pt>
                  <c:pt idx="28">
                    <c:v>5.9999999999999995E-4</c:v>
                  </c:pt>
                  <c:pt idx="29">
                    <c:v>5.9999999999999995E-4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2.0000000000000001E-4</c:v>
                  </c:pt>
                  <c:pt idx="34">
                    <c:v>8.9999999999999998E-4</c:v>
                  </c:pt>
                  <c:pt idx="36">
                    <c:v>2.2000000000000001E-3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  <c:pt idx="12">
                  <c:v>0.10505000000557629</c:v>
                </c:pt>
                <c:pt idx="26">
                  <c:v>0.12918999999965308</c:v>
                </c:pt>
                <c:pt idx="35">
                  <c:v>0.14729000000079395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2D-45FE-A3E6-052B2D8540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-0.27324127996085179</c:v>
                </c:pt>
                <c:pt idx="1">
                  <c:v>7.7278878965306941E-2</c:v>
                </c:pt>
                <c:pt idx="2">
                  <c:v>8.602973516304635E-2</c:v>
                </c:pt>
                <c:pt idx="3">
                  <c:v>9.1348008950057569E-2</c:v>
                </c:pt>
                <c:pt idx="4">
                  <c:v>9.7205688544468982E-2</c:v>
                </c:pt>
                <c:pt idx="5">
                  <c:v>9.8177510577636129E-2</c:v>
                </c:pt>
                <c:pt idx="6">
                  <c:v>0.10025043372177717</c:v>
                </c:pt>
                <c:pt idx="7">
                  <c:v>0.10158334559295601</c:v>
                </c:pt>
                <c:pt idx="8">
                  <c:v>0.10238576745520417</c:v>
                </c:pt>
                <c:pt idx="9">
                  <c:v>0.10323276830979938</c:v>
                </c:pt>
                <c:pt idx="10">
                  <c:v>0.10549738112103302</c:v>
                </c:pt>
                <c:pt idx="11">
                  <c:v>0.10549738112103302</c:v>
                </c:pt>
                <c:pt idx="12">
                  <c:v>0.10663860332511926</c:v>
                </c:pt>
                <c:pt idx="13">
                  <c:v>0.11165373996417011</c:v>
                </c:pt>
                <c:pt idx="14">
                  <c:v>0.11753816695398978</c:v>
                </c:pt>
                <c:pt idx="15">
                  <c:v>0.12152352886982215</c:v>
                </c:pt>
                <c:pt idx="16">
                  <c:v>0.12160822895528167</c:v>
                </c:pt>
                <c:pt idx="17">
                  <c:v>0.12175979752926192</c:v>
                </c:pt>
                <c:pt idx="18">
                  <c:v>0.12188461870783385</c:v>
                </c:pt>
                <c:pt idx="19">
                  <c:v>0.12199606618870162</c:v>
                </c:pt>
                <c:pt idx="20">
                  <c:v>0.12200943988640578</c:v>
                </c:pt>
                <c:pt idx="21">
                  <c:v>0.1220941399718653</c:v>
                </c:pt>
                <c:pt idx="22">
                  <c:v>0.1224686035075811</c:v>
                </c:pt>
                <c:pt idx="23">
                  <c:v>0.12325765167212505</c:v>
                </c:pt>
                <c:pt idx="24">
                  <c:v>0.12325765167212505</c:v>
                </c:pt>
                <c:pt idx="25">
                  <c:v>0.12703795022316072</c:v>
                </c:pt>
                <c:pt idx="26">
                  <c:v>0.12703795022316072</c:v>
                </c:pt>
                <c:pt idx="27">
                  <c:v>0.12707807131627313</c:v>
                </c:pt>
                <c:pt idx="28">
                  <c:v>0.12756398233285671</c:v>
                </c:pt>
                <c:pt idx="29">
                  <c:v>0.13152259685328088</c:v>
                </c:pt>
                <c:pt idx="30">
                  <c:v>0.13152259685328088</c:v>
                </c:pt>
                <c:pt idx="31">
                  <c:v>0.1368408706402921</c:v>
                </c:pt>
                <c:pt idx="32">
                  <c:v>0.1368408706402921</c:v>
                </c:pt>
                <c:pt idx="33">
                  <c:v>0.1368408706402921</c:v>
                </c:pt>
                <c:pt idx="34">
                  <c:v>0.13760762930866255</c:v>
                </c:pt>
                <c:pt idx="35">
                  <c:v>0.14696475980232276</c:v>
                </c:pt>
                <c:pt idx="36">
                  <c:v>0.15224291249622157</c:v>
                </c:pt>
                <c:pt idx="37">
                  <c:v>0.15749431779471212</c:v>
                </c:pt>
                <c:pt idx="38">
                  <c:v>0.15809167629216353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2D-45FE-A3E6-052B2D8540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39314.5</c:v>
                </c:pt>
                <c:pt idx="2">
                  <c:v>40296</c:v>
                </c:pt>
                <c:pt idx="3">
                  <c:v>40892.5</c:v>
                </c:pt>
                <c:pt idx="4">
                  <c:v>41549.5</c:v>
                </c:pt>
                <c:pt idx="5">
                  <c:v>41658.5</c:v>
                </c:pt>
                <c:pt idx="6">
                  <c:v>41891</c:v>
                </c:pt>
                <c:pt idx="7">
                  <c:v>42040.5</c:v>
                </c:pt>
                <c:pt idx="8">
                  <c:v>42130.5</c:v>
                </c:pt>
                <c:pt idx="9">
                  <c:v>42225.5</c:v>
                </c:pt>
                <c:pt idx="10">
                  <c:v>42479.5</c:v>
                </c:pt>
                <c:pt idx="11">
                  <c:v>42479.5</c:v>
                </c:pt>
                <c:pt idx="12">
                  <c:v>42607.5</c:v>
                </c:pt>
                <c:pt idx="13">
                  <c:v>43170</c:v>
                </c:pt>
                <c:pt idx="14">
                  <c:v>43830</c:v>
                </c:pt>
                <c:pt idx="15">
                  <c:v>44277</c:v>
                </c:pt>
                <c:pt idx="16">
                  <c:v>44286.5</c:v>
                </c:pt>
                <c:pt idx="17">
                  <c:v>44303.5</c:v>
                </c:pt>
                <c:pt idx="18">
                  <c:v>44317.5</c:v>
                </c:pt>
                <c:pt idx="19">
                  <c:v>44330</c:v>
                </c:pt>
                <c:pt idx="20">
                  <c:v>44331.5</c:v>
                </c:pt>
                <c:pt idx="21">
                  <c:v>44341</c:v>
                </c:pt>
                <c:pt idx="22">
                  <c:v>44383</c:v>
                </c:pt>
                <c:pt idx="23">
                  <c:v>44471.5</c:v>
                </c:pt>
                <c:pt idx="24">
                  <c:v>44471.5</c:v>
                </c:pt>
                <c:pt idx="25">
                  <c:v>44895.5</c:v>
                </c:pt>
                <c:pt idx="26">
                  <c:v>44895.5</c:v>
                </c:pt>
                <c:pt idx="27">
                  <c:v>44900</c:v>
                </c:pt>
                <c:pt idx="28">
                  <c:v>44954.5</c:v>
                </c:pt>
                <c:pt idx="29">
                  <c:v>45398.5</c:v>
                </c:pt>
                <c:pt idx="30">
                  <c:v>45398.5</c:v>
                </c:pt>
                <c:pt idx="31">
                  <c:v>45995</c:v>
                </c:pt>
                <c:pt idx="32">
                  <c:v>45995</c:v>
                </c:pt>
                <c:pt idx="33">
                  <c:v>45995</c:v>
                </c:pt>
                <c:pt idx="34">
                  <c:v>46081</c:v>
                </c:pt>
                <c:pt idx="35">
                  <c:v>47130.5</c:v>
                </c:pt>
                <c:pt idx="36">
                  <c:v>47722.5</c:v>
                </c:pt>
                <c:pt idx="37">
                  <c:v>48311.5</c:v>
                </c:pt>
                <c:pt idx="38">
                  <c:v>48378.5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6">
                  <c:v>-3.5650000005261973E-2</c:v>
                </c:pt>
                <c:pt idx="13">
                  <c:v>-9.6400000002176967E-2</c:v>
                </c:pt>
                <c:pt idx="27">
                  <c:v>9.5650000002933666E-2</c:v>
                </c:pt>
                <c:pt idx="34">
                  <c:v>-3.132000000186963E-2</c:v>
                </c:pt>
                <c:pt idx="37">
                  <c:v>-0.15943000000697793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2D-45FE-A3E6-052B2D854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777808"/>
        <c:axId val="1"/>
      </c:scatterChart>
      <c:valAx>
        <c:axId val="53077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106616574889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5359477124183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077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08513886744549"/>
          <c:y val="0.92097264437689974"/>
          <c:w val="0.8300667318545966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435D399-DCE4-713F-134B-AAA5355E3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295275</xdr:colOff>
      <xdr:row>0</xdr:row>
      <xdr:rowOff>0</xdr:rowOff>
    </xdr:from>
    <xdr:to>
      <xdr:col>27</xdr:col>
      <xdr:colOff>28575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88A57E4-D7CB-E541-275B-25EF6246E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www.konkoly.hu/cgi-bin/IBVS?4888" TargetMode="External"/><Relationship Id="rId21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3" TargetMode="External"/><Relationship Id="rId17" Type="http://schemas.openxmlformats.org/officeDocument/2006/relationships/hyperlink" Target="http://www.bav-astro.de/sfs/BAVM_link.php?BAVMnr=173" TargetMode="External"/><Relationship Id="rId25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653" TargetMode="External"/><Relationship Id="rId29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5263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bav-astro.de/sfs/BAVM_link.php?BAVMnr=178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konkoly.hu/cgi-bin/IBVS?5653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konkoly.hu/cgi-bin/IBVS?5741" TargetMode="External"/><Relationship Id="rId27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55</v>
      </c>
    </row>
    <row r="2" spans="1:6" s="9" customFormat="1" ht="12.95" customHeight="1" x14ac:dyDescent="0.2">
      <c r="A2" s="9" t="s">
        <v>24</v>
      </c>
      <c r="B2" s="9" t="s">
        <v>29</v>
      </c>
    </row>
    <row r="3" spans="1:6" s="9" customFormat="1" ht="12.95" customHeight="1" thickBot="1" x14ac:dyDescent="0.25"/>
    <row r="4" spans="1:6" s="9" customFormat="1" ht="12.95" customHeight="1" thickTop="1" thickBot="1" x14ac:dyDescent="0.25">
      <c r="A4" s="44" t="s">
        <v>0</v>
      </c>
      <c r="C4" s="45">
        <v>24789.599999999999</v>
      </c>
      <c r="D4" s="46">
        <v>0.64202000000000004</v>
      </c>
    </row>
    <row r="5" spans="1:6" s="9" customFormat="1" ht="12.95" customHeight="1" thickTop="1" x14ac:dyDescent="0.2">
      <c r="A5" s="47" t="s">
        <v>41</v>
      </c>
      <c r="C5" s="48">
        <v>-9.5</v>
      </c>
      <c r="D5" s="9" t="s">
        <v>42</v>
      </c>
    </row>
    <row r="6" spans="1:6" s="9" customFormat="1" ht="12.95" customHeight="1" x14ac:dyDescent="0.2">
      <c r="A6" s="44" t="s">
        <v>1</v>
      </c>
    </row>
    <row r="7" spans="1:6" s="9" customFormat="1" ht="12.95" customHeight="1" x14ac:dyDescent="0.2">
      <c r="A7" s="9" t="s">
        <v>2</v>
      </c>
      <c r="C7" s="9">
        <f>+C4</f>
        <v>24789.599999999999</v>
      </c>
    </row>
    <row r="8" spans="1:6" s="9" customFormat="1" ht="12.95" customHeight="1" x14ac:dyDescent="0.2">
      <c r="A8" s="9" t="s">
        <v>3</v>
      </c>
      <c r="C8" s="9">
        <f>+D4</f>
        <v>0.64202000000000004</v>
      </c>
    </row>
    <row r="9" spans="1:6" s="9" customFormat="1" ht="12.95" customHeight="1" x14ac:dyDescent="0.2">
      <c r="A9" s="49" t="s">
        <v>48</v>
      </c>
      <c r="B9" s="50">
        <v>22</v>
      </c>
      <c r="C9" s="51" t="str">
        <f>"F"&amp;B9</f>
        <v>F22</v>
      </c>
      <c r="D9" s="52" t="str">
        <f>"G"&amp;B9</f>
        <v>G22</v>
      </c>
    </row>
    <row r="10" spans="1:6" s="9" customFormat="1" ht="12.95" customHeight="1" thickBot="1" x14ac:dyDescent="0.25">
      <c r="C10" s="53" t="s">
        <v>20</v>
      </c>
      <c r="D10" s="53" t="s">
        <v>21</v>
      </c>
    </row>
    <row r="11" spans="1:6" s="9" customFormat="1" ht="12.95" customHeight="1" x14ac:dyDescent="0.2">
      <c r="A11" s="9" t="s">
        <v>16</v>
      </c>
      <c r="C11" s="52">
        <f ca="1">INTERCEPT(INDIRECT($D$9):G992,INDIRECT($C$9):F992)</f>
        <v>-0.27324127996085179</v>
      </c>
      <c r="D11" s="54"/>
    </row>
    <row r="12" spans="1:6" s="9" customFormat="1" ht="12.95" customHeight="1" x14ac:dyDescent="0.2">
      <c r="A12" s="9" t="s">
        <v>17</v>
      </c>
      <c r="C12" s="52">
        <f ca="1">SLOPE(INDIRECT($D$9):G992,INDIRECT($C$9):F992)</f>
        <v>8.9157984694237177E-6</v>
      </c>
      <c r="D12" s="54"/>
    </row>
    <row r="13" spans="1:6" s="9" customFormat="1" ht="12.95" customHeight="1" x14ac:dyDescent="0.2">
      <c r="A13" s="9" t="s">
        <v>19</v>
      </c>
      <c r="C13" s="54" t="s">
        <v>14</v>
      </c>
    </row>
    <row r="14" spans="1:6" s="9" customFormat="1" ht="12.95" customHeight="1" x14ac:dyDescent="0.2"/>
    <row r="15" spans="1:6" s="9" customFormat="1" ht="12.95" customHeight="1" x14ac:dyDescent="0.2">
      <c r="A15" s="55" t="s">
        <v>18</v>
      </c>
      <c r="C15" s="56">
        <f ca="1">(C7+C11)+(C8+C12)*INT(MAX(F21:F3533))</f>
        <v>55849.401647218394</v>
      </c>
      <c r="E15" s="57" t="s">
        <v>52</v>
      </c>
      <c r="F15" s="48">
        <v>1</v>
      </c>
    </row>
    <row r="16" spans="1:6" s="9" customFormat="1" ht="12.95" customHeight="1" x14ac:dyDescent="0.2">
      <c r="A16" s="44" t="s">
        <v>4</v>
      </c>
      <c r="C16" s="58">
        <f ca="1">+C8+C12</f>
        <v>0.64202891579846944</v>
      </c>
      <c r="E16" s="57" t="s">
        <v>43</v>
      </c>
      <c r="F16" s="59">
        <f ca="1">NOW()+15018.5+$C$5/24</f>
        <v>60371.702033912035</v>
      </c>
    </row>
    <row r="17" spans="1:21" s="9" customFormat="1" ht="12.95" customHeight="1" thickBot="1" x14ac:dyDescent="0.25">
      <c r="A17" s="57" t="s">
        <v>38</v>
      </c>
      <c r="C17" s="9">
        <f>COUNT(C21:C2191)</f>
        <v>39</v>
      </c>
      <c r="E17" s="57" t="s">
        <v>53</v>
      </c>
      <c r="F17" s="59">
        <f ca="1">ROUND(2*(F16-$C$7)/$C$8,0)/2+F15</f>
        <v>55423</v>
      </c>
    </row>
    <row r="18" spans="1:21" s="9" customFormat="1" ht="12.95" customHeight="1" thickTop="1" thickBot="1" x14ac:dyDescent="0.25">
      <c r="A18" s="44" t="s">
        <v>5</v>
      </c>
      <c r="C18" s="45">
        <f ca="1">+C15</f>
        <v>55849.401647218394</v>
      </c>
      <c r="D18" s="46">
        <f ca="1">+C16</f>
        <v>0.64202891579846944</v>
      </c>
      <c r="E18" s="57" t="s">
        <v>44</v>
      </c>
      <c r="F18" s="52">
        <f ca="1">ROUND(2*(F16-$C$15)/$C$16,0)/2+F15</f>
        <v>7045</v>
      </c>
    </row>
    <row r="19" spans="1:21" s="9" customFormat="1" ht="12.95" customHeight="1" thickTop="1" x14ac:dyDescent="0.2">
      <c r="E19" s="57" t="s">
        <v>45</v>
      </c>
      <c r="F19" s="60">
        <f ca="1">+$C$15+$C$16*F18-15018.5-$C$5/24</f>
        <v>45354.391192351948</v>
      </c>
    </row>
    <row r="20" spans="1:21" s="9" customFormat="1" ht="12.95" customHeight="1" thickBot="1" x14ac:dyDescent="0.25">
      <c r="A20" s="53" t="s">
        <v>6</v>
      </c>
      <c r="B20" s="53" t="s">
        <v>7</v>
      </c>
      <c r="C20" s="53" t="s">
        <v>8</v>
      </c>
      <c r="D20" s="53" t="s">
        <v>13</v>
      </c>
      <c r="E20" s="53" t="s">
        <v>9</v>
      </c>
      <c r="F20" s="53" t="s">
        <v>10</v>
      </c>
      <c r="G20" s="53" t="s">
        <v>11</v>
      </c>
      <c r="H20" s="61" t="s">
        <v>12</v>
      </c>
      <c r="I20" s="61" t="s">
        <v>197</v>
      </c>
      <c r="J20" s="61" t="s">
        <v>198</v>
      </c>
      <c r="K20" s="61" t="s">
        <v>25</v>
      </c>
      <c r="L20" s="61" t="s">
        <v>26</v>
      </c>
      <c r="M20" s="61" t="s">
        <v>27</v>
      </c>
      <c r="N20" s="61" t="s">
        <v>28</v>
      </c>
      <c r="O20" s="61" t="s">
        <v>23</v>
      </c>
      <c r="P20" s="62" t="s">
        <v>22</v>
      </c>
      <c r="Q20" s="53" t="s">
        <v>15</v>
      </c>
      <c r="U20" s="63" t="s">
        <v>51</v>
      </c>
    </row>
    <row r="21" spans="1:21" s="9" customFormat="1" ht="12.95" customHeight="1" x14ac:dyDescent="0.2">
      <c r="A21" s="9" t="s">
        <v>12</v>
      </c>
      <c r="B21" s="54"/>
      <c r="C21" s="64">
        <f>+C4</f>
        <v>24789.599999999999</v>
      </c>
      <c r="D21" s="64" t="s">
        <v>14</v>
      </c>
      <c r="E21" s="9">
        <f t="shared" ref="E21:E59" si="0">+(C21-C$7)/C$8</f>
        <v>0</v>
      </c>
      <c r="F21" s="9">
        <f t="shared" ref="F21:F58" si="1">ROUND(2*E21,0)/2</f>
        <v>0</v>
      </c>
      <c r="H21" s="52">
        <v>0</v>
      </c>
      <c r="O21" s="9">
        <f t="shared" ref="O21:O59" ca="1" si="2">+C$11+C$12*$F21</f>
        <v>-0.27324127996085179</v>
      </c>
      <c r="Q21" s="65">
        <f t="shared" ref="Q21:Q59" si="3">+C21-15018.5</f>
        <v>9771.0999999999985</v>
      </c>
    </row>
    <row r="22" spans="1:21" s="9" customFormat="1" ht="12.95" customHeight="1" x14ac:dyDescent="0.2">
      <c r="A22" s="9" t="s">
        <v>36</v>
      </c>
      <c r="B22" s="54"/>
      <c r="C22" s="64">
        <v>50030.372000000003</v>
      </c>
      <c r="D22" s="64">
        <v>3.0999999999999999E-3</v>
      </c>
      <c r="E22" s="9">
        <f t="shared" si="0"/>
        <v>39314.619482259128</v>
      </c>
      <c r="F22" s="9">
        <f t="shared" si="1"/>
        <v>39314.5</v>
      </c>
      <c r="G22" s="9">
        <f>+C22-(C$7+F22*C$8)</f>
        <v>7.6710000008461066E-2</v>
      </c>
      <c r="I22" s="9">
        <f>+G22</f>
        <v>7.6710000008461066E-2</v>
      </c>
      <c r="O22" s="9">
        <f t="shared" ca="1" si="2"/>
        <v>7.7278878965306941E-2</v>
      </c>
      <c r="Q22" s="65">
        <f t="shared" si="3"/>
        <v>35011.872000000003</v>
      </c>
    </row>
    <row r="23" spans="1:21" s="9" customFormat="1" ht="12.95" customHeight="1" x14ac:dyDescent="0.2">
      <c r="A23" s="9" t="s">
        <v>36</v>
      </c>
      <c r="B23" s="54"/>
      <c r="C23" s="64">
        <v>50660.529000000002</v>
      </c>
      <c r="D23" s="64">
        <v>5.5999999999999999E-3</v>
      </c>
      <c r="E23" s="9">
        <f t="shared" si="0"/>
        <v>40296.141864739417</v>
      </c>
      <c r="F23" s="9">
        <f t="shared" si="1"/>
        <v>40296</v>
      </c>
      <c r="G23" s="9">
        <f>+C23-(C$7+F23*C$8)</f>
        <v>9.1080000005604234E-2</v>
      </c>
      <c r="I23" s="9">
        <f>+G23</f>
        <v>9.1080000005604234E-2</v>
      </c>
      <c r="O23" s="9">
        <f t="shared" ca="1" si="2"/>
        <v>8.602973516304635E-2</v>
      </c>
      <c r="Q23" s="65">
        <f t="shared" si="3"/>
        <v>35642.029000000002</v>
      </c>
    </row>
    <row r="24" spans="1:21" s="9" customFormat="1" ht="12.95" customHeight="1" x14ac:dyDescent="0.2">
      <c r="A24" s="4" t="s">
        <v>30</v>
      </c>
      <c r="B24" s="5"/>
      <c r="C24" s="4">
        <v>51043.501700000001</v>
      </c>
      <c r="D24" s="4">
        <v>5.0000000000000001E-4</v>
      </c>
      <c r="E24" s="9">
        <f t="shared" si="0"/>
        <v>40892.65396716613</v>
      </c>
      <c r="F24" s="9">
        <f t="shared" si="1"/>
        <v>40892.5</v>
      </c>
      <c r="G24" s="9">
        <f>+C24-(C$7+F24*C$8)</f>
        <v>9.88500000021304E-2</v>
      </c>
      <c r="I24" s="9">
        <f>+G24</f>
        <v>9.88500000021304E-2</v>
      </c>
      <c r="O24" s="9">
        <f t="shared" ca="1" si="2"/>
        <v>9.1348008950057569E-2</v>
      </c>
      <c r="Q24" s="65">
        <f t="shared" si="3"/>
        <v>36025.001700000001</v>
      </c>
    </row>
    <row r="25" spans="1:21" s="9" customFormat="1" ht="12.95" customHeight="1" x14ac:dyDescent="0.2">
      <c r="A25" s="6" t="s">
        <v>31</v>
      </c>
      <c r="B25" s="7" t="s">
        <v>32</v>
      </c>
      <c r="C25" s="8">
        <v>51465.301899999999</v>
      </c>
      <c r="D25" s="8">
        <v>3.0000000000000001E-3</v>
      </c>
      <c r="E25" s="9">
        <f t="shared" si="0"/>
        <v>41549.643157534032</v>
      </c>
      <c r="F25" s="9">
        <f t="shared" si="1"/>
        <v>41549.5</v>
      </c>
      <c r="G25" s="9">
        <f>+C25-(C$7+F25*C$8)</f>
        <v>9.1909999995550606E-2</v>
      </c>
      <c r="I25" s="9">
        <f>+G25</f>
        <v>9.1909999995550606E-2</v>
      </c>
      <c r="O25" s="9">
        <f t="shared" ca="1" si="2"/>
        <v>9.7205688544468982E-2</v>
      </c>
      <c r="Q25" s="65">
        <f t="shared" si="3"/>
        <v>36446.801899999999</v>
      </c>
    </row>
    <row r="26" spans="1:21" s="9" customFormat="1" ht="12.95" customHeight="1" x14ac:dyDescent="0.2">
      <c r="A26" s="6" t="s">
        <v>31</v>
      </c>
      <c r="B26" s="7" t="s">
        <v>32</v>
      </c>
      <c r="C26" s="8">
        <v>51535.288800000002</v>
      </c>
      <c r="D26" s="8">
        <v>6.3E-3</v>
      </c>
      <c r="E26" s="9">
        <f t="shared" si="0"/>
        <v>41658.653624497681</v>
      </c>
      <c r="F26" s="9">
        <f t="shared" si="1"/>
        <v>41658.5</v>
      </c>
      <c r="G26" s="9">
        <f>+C26-(C$7+F26*C$8)</f>
        <v>9.863000000041211E-2</v>
      </c>
      <c r="I26" s="9">
        <f>+G26</f>
        <v>9.863000000041211E-2</v>
      </c>
      <c r="O26" s="9">
        <f t="shared" ca="1" si="2"/>
        <v>9.8177510577636129E-2</v>
      </c>
      <c r="Q26" s="65">
        <f t="shared" si="3"/>
        <v>36516.788800000002</v>
      </c>
    </row>
    <row r="27" spans="1:21" s="9" customFormat="1" ht="12.95" customHeight="1" x14ac:dyDescent="0.2">
      <c r="A27" s="66" t="s">
        <v>49</v>
      </c>
      <c r="B27" s="67" t="s">
        <v>32</v>
      </c>
      <c r="C27" s="66">
        <v>51684.424169999998</v>
      </c>
      <c r="D27" s="66">
        <v>2.8999999999999998E-3</v>
      </c>
      <c r="E27" s="9">
        <f t="shared" si="0"/>
        <v>41890.944472134819</v>
      </c>
      <c r="F27" s="9">
        <f t="shared" si="1"/>
        <v>41891</v>
      </c>
      <c r="O27" s="9">
        <f t="shared" ca="1" si="2"/>
        <v>0.10025043372177717</v>
      </c>
      <c r="Q27" s="65">
        <f t="shared" si="3"/>
        <v>36665.924169999998</v>
      </c>
      <c r="U27" s="52">
        <v>-3.5650000005261973E-2</v>
      </c>
    </row>
    <row r="28" spans="1:21" s="9" customFormat="1" ht="12.95" customHeight="1" x14ac:dyDescent="0.2">
      <c r="A28" s="66" t="s">
        <v>49</v>
      </c>
      <c r="B28" s="67" t="s">
        <v>32</v>
      </c>
      <c r="C28" s="66">
        <v>51780.542800000003</v>
      </c>
      <c r="D28" s="66">
        <v>2.8999999999999998E-3</v>
      </c>
      <c r="E28" s="9">
        <f t="shared" si="0"/>
        <v>42040.657300395629</v>
      </c>
      <c r="F28" s="9">
        <f t="shared" si="1"/>
        <v>42040.5</v>
      </c>
      <c r="G28" s="9">
        <f t="shared" ref="G28:G33" si="4">+C28-(C$7+F28*C$8)</f>
        <v>0.10098999999900116</v>
      </c>
      <c r="J28" s="9">
        <f>+G28</f>
        <v>0.10098999999900116</v>
      </c>
      <c r="O28" s="9">
        <f t="shared" ca="1" si="2"/>
        <v>0.10158334559295601</v>
      </c>
      <c r="Q28" s="65">
        <f t="shared" si="3"/>
        <v>36762.042800000003</v>
      </c>
    </row>
    <row r="29" spans="1:21" s="9" customFormat="1" ht="12.95" customHeight="1" x14ac:dyDescent="0.2">
      <c r="A29" s="66" t="s">
        <v>49</v>
      </c>
      <c r="B29" s="67" t="s">
        <v>32</v>
      </c>
      <c r="C29" s="66">
        <v>51838.324690000001</v>
      </c>
      <c r="D29" s="66">
        <v>3.0000000000000001E-3</v>
      </c>
      <c r="E29" s="9">
        <f t="shared" si="0"/>
        <v>42130.657440578179</v>
      </c>
      <c r="F29" s="9">
        <f t="shared" si="1"/>
        <v>42130.5</v>
      </c>
      <c r="G29" s="9">
        <f t="shared" si="4"/>
        <v>0.10108000000036554</v>
      </c>
      <c r="J29" s="9">
        <f>+G29</f>
        <v>0.10108000000036554</v>
      </c>
      <c r="O29" s="9">
        <f t="shared" ca="1" si="2"/>
        <v>0.10238576745520417</v>
      </c>
      <c r="Q29" s="65">
        <f t="shared" si="3"/>
        <v>36819.824690000001</v>
      </c>
    </row>
    <row r="30" spans="1:21" s="9" customFormat="1" ht="12.95" customHeight="1" x14ac:dyDescent="0.2">
      <c r="A30" s="66" t="s">
        <v>49</v>
      </c>
      <c r="B30" s="67" t="s">
        <v>32</v>
      </c>
      <c r="C30" s="66">
        <v>51899.320460000003</v>
      </c>
      <c r="D30" s="66">
        <v>1.1000000000000001E-3</v>
      </c>
      <c r="E30" s="9">
        <f t="shared" si="0"/>
        <v>42225.663468427781</v>
      </c>
      <c r="F30" s="9">
        <f t="shared" si="1"/>
        <v>42225.5</v>
      </c>
      <c r="G30" s="9">
        <f t="shared" si="4"/>
        <v>0.10495000000082655</v>
      </c>
      <c r="J30" s="9">
        <f>+G30</f>
        <v>0.10495000000082655</v>
      </c>
      <c r="O30" s="9">
        <f t="shared" ca="1" si="2"/>
        <v>0.10323276830979938</v>
      </c>
      <c r="Q30" s="65">
        <f t="shared" si="3"/>
        <v>36880.820460000003</v>
      </c>
    </row>
    <row r="31" spans="1:21" x14ac:dyDescent="0.2">
      <c r="A31" s="8" t="s">
        <v>33</v>
      </c>
      <c r="B31" s="7" t="s">
        <v>32</v>
      </c>
      <c r="C31" s="8">
        <v>52062.3874</v>
      </c>
      <c r="D31" s="8">
        <v>6.7000000000000002E-3</v>
      </c>
      <c r="E31">
        <f t="shared" si="0"/>
        <v>42479.653904862775</v>
      </c>
      <c r="F31">
        <f t="shared" si="1"/>
        <v>42479.5</v>
      </c>
      <c r="G31">
        <f t="shared" si="4"/>
        <v>9.8810000003140885E-2</v>
      </c>
      <c r="I31">
        <f>+G31</f>
        <v>9.8810000003140885E-2</v>
      </c>
      <c r="O31">
        <f t="shared" ca="1" si="2"/>
        <v>0.10549738112103302</v>
      </c>
      <c r="Q31" s="2">
        <f t="shared" si="3"/>
        <v>37043.8874</v>
      </c>
    </row>
    <row r="32" spans="1:21" x14ac:dyDescent="0.2">
      <c r="A32" s="16" t="s">
        <v>33</v>
      </c>
      <c r="B32" s="10" t="s">
        <v>32</v>
      </c>
      <c r="C32" s="17">
        <v>52062.3874</v>
      </c>
      <c r="D32" s="17">
        <v>6.7000000000000002E-3</v>
      </c>
      <c r="E32">
        <f t="shared" si="0"/>
        <v>42479.653904862775</v>
      </c>
      <c r="F32">
        <f t="shared" si="1"/>
        <v>42479.5</v>
      </c>
      <c r="G32">
        <f t="shared" si="4"/>
        <v>9.8810000003140885E-2</v>
      </c>
      <c r="I32">
        <f>+G32</f>
        <v>9.8810000003140885E-2</v>
      </c>
      <c r="O32">
        <f t="shared" ca="1" si="2"/>
        <v>0.10549738112103302</v>
      </c>
      <c r="Q32" s="2">
        <f t="shared" si="3"/>
        <v>37043.8874</v>
      </c>
    </row>
    <row r="33" spans="1:21" x14ac:dyDescent="0.2">
      <c r="A33" s="42" t="s">
        <v>110</v>
      </c>
      <c r="B33" s="43" t="s">
        <v>196</v>
      </c>
      <c r="C33" s="68">
        <v>52144.572200000002</v>
      </c>
      <c r="D33" s="13"/>
      <c r="E33">
        <f t="shared" si="0"/>
        <v>42607.663624186163</v>
      </c>
      <c r="F33">
        <f t="shared" si="1"/>
        <v>42607.5</v>
      </c>
      <c r="G33">
        <f t="shared" si="4"/>
        <v>0.10505000000557629</v>
      </c>
      <c r="N33">
        <f>+G33</f>
        <v>0.10505000000557629</v>
      </c>
      <c r="O33">
        <f t="shared" ca="1" si="2"/>
        <v>0.10663860332511926</v>
      </c>
      <c r="Q33" s="2">
        <f t="shared" si="3"/>
        <v>37126.072200000002</v>
      </c>
    </row>
    <row r="34" spans="1:21" x14ac:dyDescent="0.2">
      <c r="A34" s="11" t="s">
        <v>35</v>
      </c>
      <c r="B34" s="7"/>
      <c r="C34" s="14">
        <v>52505.506999999998</v>
      </c>
      <c r="D34" s="14">
        <v>3.3999999999999998E-3</v>
      </c>
      <c r="E34">
        <f t="shared" si="0"/>
        <v>43169.84984891436</v>
      </c>
      <c r="F34">
        <f t="shared" si="1"/>
        <v>43170</v>
      </c>
      <c r="O34">
        <f t="shared" ca="1" si="2"/>
        <v>0.11165373996417011</v>
      </c>
      <c r="Q34" s="2">
        <f t="shared" si="3"/>
        <v>37487.006999999998</v>
      </c>
      <c r="U34" s="12">
        <v>-9.6400000002176967E-2</v>
      </c>
    </row>
    <row r="35" spans="1:21" x14ac:dyDescent="0.2">
      <c r="A35" s="9" t="s">
        <v>34</v>
      </c>
      <c r="B35" s="10"/>
      <c r="C35" s="15">
        <v>52929.452299999997</v>
      </c>
      <c r="D35" s="17"/>
      <c r="E35">
        <f t="shared" si="0"/>
        <v>43830.180212454434</v>
      </c>
      <c r="F35">
        <f t="shared" si="1"/>
        <v>43830</v>
      </c>
      <c r="G35">
        <f t="shared" ref="G35:G47" si="5">+C35-(C$7+F35*C$8)</f>
        <v>0.11570000000210712</v>
      </c>
      <c r="I35">
        <f t="shared" ref="I35:I46" si="6">+G35</f>
        <v>0.11570000000210712</v>
      </c>
      <c r="O35">
        <f t="shared" ca="1" si="2"/>
        <v>0.11753816695398978</v>
      </c>
      <c r="Q35" s="2">
        <f t="shared" si="3"/>
        <v>37910.952299999997</v>
      </c>
    </row>
    <row r="36" spans="1:21" x14ac:dyDescent="0.2">
      <c r="A36" s="9" t="s">
        <v>37</v>
      </c>
      <c r="B36" s="10"/>
      <c r="C36" s="13">
        <v>53216.438300000002</v>
      </c>
      <c r="D36" s="13">
        <v>2.2000000000000001E-3</v>
      </c>
      <c r="E36">
        <f t="shared" si="0"/>
        <v>44277.184978661106</v>
      </c>
      <c r="F36">
        <f t="shared" si="1"/>
        <v>44277</v>
      </c>
      <c r="G36">
        <f t="shared" si="5"/>
        <v>0.11876000000484055</v>
      </c>
      <c r="I36">
        <f t="shared" si="6"/>
        <v>0.11876000000484055</v>
      </c>
      <c r="O36">
        <f t="shared" ca="1" si="2"/>
        <v>0.12152352886982215</v>
      </c>
      <c r="Q36" s="2">
        <f t="shared" si="3"/>
        <v>38197.938300000002</v>
      </c>
    </row>
    <row r="37" spans="1:21" x14ac:dyDescent="0.2">
      <c r="A37" s="9" t="s">
        <v>37</v>
      </c>
      <c r="B37" s="10"/>
      <c r="C37" s="13">
        <v>53222.543700000002</v>
      </c>
      <c r="D37" s="13">
        <v>2.3E-3</v>
      </c>
      <c r="E37">
        <f t="shared" si="0"/>
        <v>44286.69465125697</v>
      </c>
      <c r="F37">
        <f t="shared" si="1"/>
        <v>44286.5</v>
      </c>
      <c r="G37">
        <f t="shared" si="5"/>
        <v>0.12496999999711988</v>
      </c>
      <c r="I37">
        <f t="shared" si="6"/>
        <v>0.12496999999711988</v>
      </c>
      <c r="O37">
        <f t="shared" ca="1" si="2"/>
        <v>0.12160822895528167</v>
      </c>
      <c r="Q37" s="2">
        <f t="shared" si="3"/>
        <v>38204.043700000002</v>
      </c>
    </row>
    <row r="38" spans="1:21" x14ac:dyDescent="0.2">
      <c r="A38" s="9" t="s">
        <v>37</v>
      </c>
      <c r="B38" s="10"/>
      <c r="C38" s="13">
        <v>53233.455600000001</v>
      </c>
      <c r="D38" s="13">
        <v>1.2999999999999999E-3</v>
      </c>
      <c r="E38">
        <f t="shared" si="0"/>
        <v>44303.690850752311</v>
      </c>
      <c r="F38">
        <f t="shared" si="1"/>
        <v>44303.5</v>
      </c>
      <c r="G38">
        <f t="shared" si="5"/>
        <v>0.12253000000055181</v>
      </c>
      <c r="I38">
        <f t="shared" si="6"/>
        <v>0.12253000000055181</v>
      </c>
      <c r="O38">
        <f t="shared" ca="1" si="2"/>
        <v>0.12175979752926192</v>
      </c>
      <c r="Q38" s="2">
        <f t="shared" si="3"/>
        <v>38214.955600000001</v>
      </c>
    </row>
    <row r="39" spans="1:21" x14ac:dyDescent="0.2">
      <c r="A39" s="9" t="s">
        <v>37</v>
      </c>
      <c r="B39" s="10"/>
      <c r="C39" s="13">
        <v>53242.444199999998</v>
      </c>
      <c r="D39" s="13">
        <v>1.1000000000000001E-3</v>
      </c>
      <c r="E39">
        <f t="shared" si="0"/>
        <v>44317.691349179149</v>
      </c>
      <c r="F39">
        <f t="shared" si="1"/>
        <v>44317.5</v>
      </c>
      <c r="G39">
        <f t="shared" si="5"/>
        <v>0.12284999999974389</v>
      </c>
      <c r="I39">
        <f t="shared" si="6"/>
        <v>0.12284999999974389</v>
      </c>
      <c r="O39">
        <f t="shared" ca="1" si="2"/>
        <v>0.12188461870783385</v>
      </c>
      <c r="Q39" s="2">
        <f t="shared" si="3"/>
        <v>38223.944199999998</v>
      </c>
    </row>
    <row r="40" spans="1:21" x14ac:dyDescent="0.2">
      <c r="A40" s="9" t="s">
        <v>37</v>
      </c>
      <c r="B40" s="10"/>
      <c r="C40" s="13">
        <v>53250.469700000001</v>
      </c>
      <c r="D40" s="13">
        <v>2.2000000000000001E-3</v>
      </c>
      <c r="E40">
        <f t="shared" si="0"/>
        <v>44330.191738575122</v>
      </c>
      <c r="F40">
        <f t="shared" si="1"/>
        <v>44330</v>
      </c>
      <c r="G40">
        <f t="shared" si="5"/>
        <v>0.12309999999706633</v>
      </c>
      <c r="I40">
        <f t="shared" si="6"/>
        <v>0.12309999999706633</v>
      </c>
      <c r="O40">
        <f t="shared" ca="1" si="2"/>
        <v>0.12199606618870162</v>
      </c>
      <c r="Q40" s="2">
        <f t="shared" si="3"/>
        <v>38231.969700000001</v>
      </c>
    </row>
    <row r="41" spans="1:21" x14ac:dyDescent="0.2">
      <c r="A41" s="9" t="s">
        <v>37</v>
      </c>
      <c r="B41" s="10"/>
      <c r="C41" s="13">
        <v>53251.431799999998</v>
      </c>
      <c r="D41" s="13">
        <v>2.7000000000000001E-3</v>
      </c>
      <c r="E41">
        <f t="shared" si="0"/>
        <v>44331.690290022118</v>
      </c>
      <c r="F41">
        <f t="shared" si="1"/>
        <v>44331.5</v>
      </c>
      <c r="G41">
        <f t="shared" si="5"/>
        <v>0.12216999999509426</v>
      </c>
      <c r="I41">
        <f t="shared" si="6"/>
        <v>0.12216999999509426</v>
      </c>
      <c r="O41">
        <f t="shared" ca="1" si="2"/>
        <v>0.12200943988640578</v>
      </c>
      <c r="Q41" s="2">
        <f t="shared" si="3"/>
        <v>38232.931799999998</v>
      </c>
    </row>
    <row r="42" spans="1:21" x14ac:dyDescent="0.2">
      <c r="A42" s="9" t="s">
        <v>37</v>
      </c>
      <c r="B42" s="10"/>
      <c r="C42" s="13">
        <v>53257.537799999998</v>
      </c>
      <c r="D42" s="13">
        <v>6.9999999999999999E-4</v>
      </c>
      <c r="E42">
        <f t="shared" si="0"/>
        <v>44341.20089716831</v>
      </c>
      <c r="F42">
        <f t="shared" si="1"/>
        <v>44341</v>
      </c>
      <c r="G42">
        <f t="shared" si="5"/>
        <v>0.12898000000132015</v>
      </c>
      <c r="I42">
        <f t="shared" si="6"/>
        <v>0.12898000000132015</v>
      </c>
      <c r="O42">
        <f t="shared" ca="1" si="2"/>
        <v>0.1220941399718653</v>
      </c>
      <c r="Q42" s="2">
        <f t="shared" si="3"/>
        <v>38239.037799999998</v>
      </c>
    </row>
    <row r="43" spans="1:21" x14ac:dyDescent="0.2">
      <c r="A43" s="9" t="s">
        <v>37</v>
      </c>
      <c r="B43" s="10"/>
      <c r="C43" s="13">
        <v>53284.499600000003</v>
      </c>
      <c r="D43" s="13">
        <v>6.9999999999999999E-4</v>
      </c>
      <c r="E43">
        <f t="shared" si="0"/>
        <v>44383.196162113331</v>
      </c>
      <c r="F43">
        <f t="shared" si="1"/>
        <v>44383</v>
      </c>
      <c r="G43">
        <f t="shared" si="5"/>
        <v>0.12594000000535743</v>
      </c>
      <c r="I43">
        <f t="shared" si="6"/>
        <v>0.12594000000535743</v>
      </c>
      <c r="O43">
        <f t="shared" ca="1" si="2"/>
        <v>0.1224686035075811</v>
      </c>
      <c r="Q43" s="2">
        <f t="shared" si="3"/>
        <v>38265.999600000003</v>
      </c>
    </row>
    <row r="44" spans="1:21" x14ac:dyDescent="0.2">
      <c r="A44" s="18" t="s">
        <v>40</v>
      </c>
      <c r="B44" s="19" t="s">
        <v>32</v>
      </c>
      <c r="C44" s="20">
        <v>53341.313800000004</v>
      </c>
      <c r="D44" s="20">
        <v>8.0000000000000004E-4</v>
      </c>
      <c r="E44">
        <f t="shared" si="0"/>
        <v>44471.689043955019</v>
      </c>
      <c r="F44">
        <f t="shared" si="1"/>
        <v>44471.5</v>
      </c>
      <c r="G44">
        <f t="shared" si="5"/>
        <v>0.121370000008028</v>
      </c>
      <c r="I44">
        <f t="shared" si="6"/>
        <v>0.121370000008028</v>
      </c>
      <c r="O44">
        <f t="shared" ca="1" si="2"/>
        <v>0.12325765167212505</v>
      </c>
      <c r="Q44" s="2">
        <f t="shared" si="3"/>
        <v>38322.813800000004</v>
      </c>
    </row>
    <row r="45" spans="1:21" x14ac:dyDescent="0.2">
      <c r="A45" s="18" t="s">
        <v>40</v>
      </c>
      <c r="B45" s="19" t="s">
        <v>32</v>
      </c>
      <c r="C45" s="20">
        <v>53341.317000000003</v>
      </c>
      <c r="D45" s="20">
        <v>5.0000000000000001E-3</v>
      </c>
      <c r="E45">
        <f t="shared" si="0"/>
        <v>44471.694028223421</v>
      </c>
      <c r="F45">
        <f t="shared" si="1"/>
        <v>44471.5</v>
      </c>
      <c r="G45">
        <f t="shared" si="5"/>
        <v>0.12457000000722473</v>
      </c>
      <c r="I45">
        <f t="shared" si="6"/>
        <v>0.12457000000722473</v>
      </c>
      <c r="O45">
        <f t="shared" ca="1" si="2"/>
        <v>0.12325765167212505</v>
      </c>
      <c r="Q45" s="2">
        <f t="shared" si="3"/>
        <v>38322.817000000003</v>
      </c>
    </row>
    <row r="46" spans="1:21" x14ac:dyDescent="0.2">
      <c r="A46" s="16" t="s">
        <v>39</v>
      </c>
      <c r="B46" s="10"/>
      <c r="C46" s="13">
        <v>53613.537900000003</v>
      </c>
      <c r="D46" s="13">
        <v>6.9999999999999999E-4</v>
      </c>
      <c r="E46">
        <f t="shared" si="0"/>
        <v>44895.700912744156</v>
      </c>
      <c r="F46">
        <f t="shared" si="1"/>
        <v>44895.5</v>
      </c>
      <c r="G46">
        <f t="shared" si="5"/>
        <v>0.12899000000470551</v>
      </c>
      <c r="I46">
        <f t="shared" si="6"/>
        <v>0.12899000000470551</v>
      </c>
      <c r="O46">
        <f t="shared" ca="1" si="2"/>
        <v>0.12703795022316072</v>
      </c>
      <c r="Q46" s="2">
        <f t="shared" si="3"/>
        <v>38595.037900000003</v>
      </c>
    </row>
    <row r="47" spans="1:21" x14ac:dyDescent="0.2">
      <c r="A47" s="42" t="s">
        <v>158</v>
      </c>
      <c r="B47" s="43" t="s">
        <v>196</v>
      </c>
      <c r="C47" s="68">
        <v>53613.538099999998</v>
      </c>
      <c r="D47" s="13"/>
      <c r="E47">
        <f t="shared" si="0"/>
        <v>44895.70122426092</v>
      </c>
      <c r="F47">
        <f t="shared" si="1"/>
        <v>44895.5</v>
      </c>
      <c r="G47">
        <f t="shared" si="5"/>
        <v>0.12918999999965308</v>
      </c>
      <c r="N47">
        <f>+G47</f>
        <v>0.12918999999965308</v>
      </c>
      <c r="O47">
        <f t="shared" ca="1" si="2"/>
        <v>0.12703795022316072</v>
      </c>
      <c r="Q47" s="2">
        <f t="shared" si="3"/>
        <v>38595.038099999998</v>
      </c>
    </row>
    <row r="48" spans="1:21" x14ac:dyDescent="0.2">
      <c r="A48" s="22" t="s">
        <v>49</v>
      </c>
      <c r="B48" s="23" t="s">
        <v>32</v>
      </c>
      <c r="C48" s="22">
        <v>53616.393649999998</v>
      </c>
      <c r="D48" s="22">
        <v>4.0000000000000002E-4</v>
      </c>
      <c r="E48">
        <f t="shared" si="0"/>
        <v>44900.148982897728</v>
      </c>
      <c r="F48">
        <f t="shared" si="1"/>
        <v>44900</v>
      </c>
      <c r="O48">
        <f t="shared" ca="1" si="2"/>
        <v>0.12707807131627313</v>
      </c>
      <c r="Q48" s="2">
        <f t="shared" si="3"/>
        <v>38597.893649999998</v>
      </c>
      <c r="U48" s="12">
        <v>9.5650000002933666E-2</v>
      </c>
    </row>
    <row r="49" spans="1:21" x14ac:dyDescent="0.2">
      <c r="A49" s="16" t="s">
        <v>39</v>
      </c>
      <c r="B49" s="10"/>
      <c r="C49" s="13">
        <v>53651.416400000002</v>
      </c>
      <c r="D49" s="13">
        <v>5.9999999999999995E-4</v>
      </c>
      <c r="E49">
        <f t="shared" si="0"/>
        <v>44954.699853587117</v>
      </c>
      <c r="F49">
        <f t="shared" si="1"/>
        <v>44954.5</v>
      </c>
      <c r="G49">
        <f t="shared" ref="G49:G54" si="7">+C49-(C$7+F49*C$8)</f>
        <v>0.12831000000005588</v>
      </c>
      <c r="I49">
        <f>+G49</f>
        <v>0.12831000000005588</v>
      </c>
      <c r="O49">
        <f t="shared" ca="1" si="2"/>
        <v>0.12756398233285671</v>
      </c>
      <c r="Q49" s="2">
        <f t="shared" si="3"/>
        <v>38632.916400000002</v>
      </c>
    </row>
    <row r="50" spans="1:21" x14ac:dyDescent="0.2">
      <c r="A50" s="20" t="s">
        <v>46</v>
      </c>
      <c r="B50" s="10" t="s">
        <v>32</v>
      </c>
      <c r="C50" s="21">
        <v>53936.477700000003</v>
      </c>
      <c r="D50" s="13">
        <v>5.9999999999999995E-4</v>
      </c>
      <c r="E50">
        <f t="shared" si="0"/>
        <v>45398.706738107852</v>
      </c>
      <c r="F50">
        <f t="shared" si="1"/>
        <v>45398.5</v>
      </c>
      <c r="G50">
        <f t="shared" si="7"/>
        <v>0.13272999999753665</v>
      </c>
      <c r="I50">
        <f>+G50</f>
        <v>0.13272999999753665</v>
      </c>
      <c r="O50">
        <f t="shared" ca="1" si="2"/>
        <v>0.13152259685328088</v>
      </c>
      <c r="Q50" s="2">
        <f t="shared" si="3"/>
        <v>38917.977700000003</v>
      </c>
    </row>
    <row r="51" spans="1:21" x14ac:dyDescent="0.2">
      <c r="A51" s="20" t="s">
        <v>47</v>
      </c>
      <c r="B51" s="10"/>
      <c r="C51" s="21">
        <v>53936.478300000002</v>
      </c>
      <c r="D51" s="13">
        <v>2.9999999999999997E-4</v>
      </c>
      <c r="E51">
        <f t="shared" si="0"/>
        <v>45398.70767265818</v>
      </c>
      <c r="F51">
        <f t="shared" si="1"/>
        <v>45398.5</v>
      </c>
      <c r="G51">
        <f t="shared" si="7"/>
        <v>0.13332999999693129</v>
      </c>
      <c r="I51">
        <f>+G51</f>
        <v>0.13332999999693129</v>
      </c>
      <c r="O51">
        <f t="shared" ca="1" si="2"/>
        <v>0.13152259685328088</v>
      </c>
      <c r="Q51" s="2">
        <f t="shared" si="3"/>
        <v>38917.978300000002</v>
      </c>
    </row>
    <row r="52" spans="1:21" x14ac:dyDescent="0.2">
      <c r="A52" s="22" t="s">
        <v>49</v>
      </c>
      <c r="B52" s="23" t="s">
        <v>32</v>
      </c>
      <c r="C52" s="22">
        <v>54319.440849999999</v>
      </c>
      <c r="D52" s="22">
        <v>2.9999999999999997E-4</v>
      </c>
      <c r="E52">
        <f t="shared" si="0"/>
        <v>45995.203965608547</v>
      </c>
      <c r="F52">
        <f t="shared" si="1"/>
        <v>45995</v>
      </c>
      <c r="G52">
        <f t="shared" si="7"/>
        <v>0.13094999999884749</v>
      </c>
      <c r="J52">
        <f>+G52</f>
        <v>0.13094999999884749</v>
      </c>
      <c r="O52">
        <f t="shared" ca="1" si="2"/>
        <v>0.1368408706402921</v>
      </c>
      <c r="Q52" s="2">
        <f t="shared" si="3"/>
        <v>39300.940849999999</v>
      </c>
    </row>
    <row r="53" spans="1:21" x14ac:dyDescent="0.2">
      <c r="A53" s="22" t="s">
        <v>49</v>
      </c>
      <c r="B53" s="23" t="s">
        <v>32</v>
      </c>
      <c r="C53" s="22">
        <v>54319.440949999997</v>
      </c>
      <c r="D53" s="22">
        <v>2.0000000000000001E-4</v>
      </c>
      <c r="E53">
        <f t="shared" si="0"/>
        <v>45995.204121366929</v>
      </c>
      <c r="F53">
        <f t="shared" si="1"/>
        <v>45995</v>
      </c>
      <c r="G53">
        <f t="shared" si="7"/>
        <v>0.13104999999632128</v>
      </c>
      <c r="J53">
        <f>+G53</f>
        <v>0.13104999999632128</v>
      </c>
      <c r="O53">
        <f t="shared" ca="1" si="2"/>
        <v>0.1368408706402921</v>
      </c>
      <c r="Q53" s="2">
        <f t="shared" si="3"/>
        <v>39300.940949999997</v>
      </c>
    </row>
    <row r="54" spans="1:21" x14ac:dyDescent="0.2">
      <c r="A54" s="22" t="s">
        <v>49</v>
      </c>
      <c r="B54" s="23" t="s">
        <v>32</v>
      </c>
      <c r="C54" s="22">
        <v>54319.440949999997</v>
      </c>
      <c r="D54" s="22">
        <v>2.0000000000000001E-4</v>
      </c>
      <c r="E54">
        <f t="shared" si="0"/>
        <v>45995.204121366929</v>
      </c>
      <c r="F54">
        <f t="shared" si="1"/>
        <v>45995</v>
      </c>
      <c r="G54">
        <f t="shared" si="7"/>
        <v>0.13104999999632128</v>
      </c>
      <c r="J54">
        <f>+G54</f>
        <v>0.13104999999632128</v>
      </c>
      <c r="O54">
        <f t="shared" ca="1" si="2"/>
        <v>0.1368408706402921</v>
      </c>
      <c r="Q54" s="2">
        <f t="shared" si="3"/>
        <v>39300.940949999997</v>
      </c>
    </row>
    <row r="55" spans="1:21" x14ac:dyDescent="0.2">
      <c r="A55" s="20" t="s">
        <v>50</v>
      </c>
      <c r="B55" s="19" t="s">
        <v>32</v>
      </c>
      <c r="C55" s="20">
        <v>54374.492299999998</v>
      </c>
      <c r="D55" s="20">
        <v>8.9999999999999998E-4</v>
      </c>
      <c r="E55" s="25">
        <f t="shared" si="0"/>
        <v>46080.951216473004</v>
      </c>
      <c r="F55">
        <f t="shared" si="1"/>
        <v>46081</v>
      </c>
      <c r="O55">
        <f t="shared" ca="1" si="2"/>
        <v>0.13760762930866255</v>
      </c>
      <c r="Q55" s="2">
        <f t="shared" si="3"/>
        <v>39355.992299999998</v>
      </c>
      <c r="U55" s="12">
        <v>-3.132000000186963E-2</v>
      </c>
    </row>
    <row r="56" spans="1:21" x14ac:dyDescent="0.2">
      <c r="A56" s="42" t="s">
        <v>179</v>
      </c>
      <c r="B56" s="43" t="s">
        <v>196</v>
      </c>
      <c r="C56" s="68">
        <v>55048.4709</v>
      </c>
      <c r="D56" s="13"/>
      <c r="E56">
        <f t="shared" si="0"/>
        <v>47130.72941652908</v>
      </c>
      <c r="F56">
        <f t="shared" si="1"/>
        <v>47130.5</v>
      </c>
      <c r="G56">
        <f>+C56-(C$7+F56*C$8)</f>
        <v>0.14729000000079395</v>
      </c>
      <c r="N56">
        <f>+G56</f>
        <v>0.14729000000079395</v>
      </c>
      <c r="O56">
        <f t="shared" ca="1" si="2"/>
        <v>0.14696475980232276</v>
      </c>
      <c r="Q56" s="2">
        <f t="shared" si="3"/>
        <v>40029.9709</v>
      </c>
    </row>
    <row r="57" spans="1:21" x14ac:dyDescent="0.2">
      <c r="A57" s="27" t="s">
        <v>56</v>
      </c>
      <c r="B57" s="69"/>
      <c r="C57" s="28">
        <v>55428.5524</v>
      </c>
      <c r="D57" s="28">
        <v>2.2000000000000001E-3</v>
      </c>
      <c r="E57" s="25">
        <f t="shared" si="0"/>
        <v>47722.738232453819</v>
      </c>
      <c r="F57">
        <f t="shared" si="1"/>
        <v>47722.5</v>
      </c>
      <c r="G57">
        <f>+C57-(C$7+F57*C$8)</f>
        <v>0.15295000000332948</v>
      </c>
      <c r="I57">
        <f>G57</f>
        <v>0.15295000000332948</v>
      </c>
      <c r="O57">
        <f t="shared" ca="1" si="2"/>
        <v>0.15224291249622157</v>
      </c>
      <c r="Q57" s="2">
        <f t="shared" si="3"/>
        <v>40410.0524</v>
      </c>
    </row>
    <row r="58" spans="1:21" x14ac:dyDescent="0.2">
      <c r="A58" s="42" t="s">
        <v>190</v>
      </c>
      <c r="B58" s="43" t="s">
        <v>32</v>
      </c>
      <c r="C58" s="68">
        <v>55806.389799999997</v>
      </c>
      <c r="D58" s="13"/>
      <c r="E58">
        <f t="shared" si="0"/>
        <v>48311.251674402665</v>
      </c>
      <c r="F58">
        <f t="shared" si="1"/>
        <v>48311.5</v>
      </c>
      <c r="O58">
        <f t="shared" ca="1" si="2"/>
        <v>0.15749431779471212</v>
      </c>
      <c r="Q58" s="2">
        <f t="shared" si="3"/>
        <v>40787.889799999997</v>
      </c>
      <c r="U58">
        <f>+C58-(C$7+F58*C$8)</f>
        <v>-0.15943000000697793</v>
      </c>
    </row>
    <row r="59" spans="1:21" x14ac:dyDescent="0.2">
      <c r="A59" s="6" t="s">
        <v>54</v>
      </c>
      <c r="B59" s="26" t="s">
        <v>32</v>
      </c>
      <c r="C59" s="6">
        <v>55849.727700000003</v>
      </c>
      <c r="D59" s="6">
        <v>4.0000000000000002E-4</v>
      </c>
      <c r="E59" s="25">
        <f t="shared" si="0"/>
        <v>48378.754088657675</v>
      </c>
      <c r="F59" s="24">
        <f>ROUND(2*E59,0)/2-0.5</f>
        <v>48378.5</v>
      </c>
      <c r="G59">
        <f>+C59-(C$7+F59*C$8)</f>
        <v>0.16313000000081956</v>
      </c>
      <c r="I59">
        <f>G59</f>
        <v>0.16313000000081956</v>
      </c>
      <c r="O59">
        <f t="shared" ca="1" si="2"/>
        <v>0.15809167629216353</v>
      </c>
      <c r="Q59" s="2">
        <f t="shared" si="3"/>
        <v>40831.227700000003</v>
      </c>
    </row>
    <row r="60" spans="1:21" x14ac:dyDescent="0.2">
      <c r="B60" s="3"/>
      <c r="C60" s="13"/>
      <c r="D60" s="13"/>
    </row>
    <row r="61" spans="1:21" x14ac:dyDescent="0.2">
      <c r="B61" s="3"/>
      <c r="C61" s="13"/>
      <c r="D61" s="13"/>
    </row>
    <row r="62" spans="1:21" x14ac:dyDescent="0.2">
      <c r="B62" s="3"/>
      <c r="C62" s="13"/>
      <c r="D62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8"/>
  <sheetViews>
    <sheetView workbookViewId="0">
      <selection activeCell="A37" sqref="A37:C40"/>
    </sheetView>
  </sheetViews>
  <sheetFormatPr defaultRowHeight="12.75" x14ac:dyDescent="0.2"/>
  <cols>
    <col min="1" max="1" width="19.7109375" style="13" customWidth="1"/>
    <col min="2" max="2" width="4.42578125" style="16" customWidth="1"/>
    <col min="3" max="3" width="12.7109375" style="13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13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29" t="s">
        <v>57</v>
      </c>
      <c r="I1" s="30" t="s">
        <v>58</v>
      </c>
      <c r="J1" s="31" t="s">
        <v>59</v>
      </c>
    </row>
    <row r="2" spans="1:16" x14ac:dyDescent="0.2">
      <c r="I2" s="32" t="s">
        <v>29</v>
      </c>
      <c r="J2" s="33" t="s">
        <v>60</v>
      </c>
    </row>
    <row r="3" spans="1:16" x14ac:dyDescent="0.2">
      <c r="A3" s="34" t="s">
        <v>61</v>
      </c>
      <c r="I3" s="32" t="s">
        <v>62</v>
      </c>
      <c r="J3" s="33" t="s">
        <v>63</v>
      </c>
    </row>
    <row r="4" spans="1:16" x14ac:dyDescent="0.2">
      <c r="I4" s="32" t="s">
        <v>64</v>
      </c>
      <c r="J4" s="33" t="s">
        <v>63</v>
      </c>
    </row>
    <row r="5" spans="1:16" ht="13.5" thickBot="1" x14ac:dyDescent="0.25">
      <c r="I5" s="35" t="s">
        <v>65</v>
      </c>
      <c r="J5" s="36" t="s">
        <v>66</v>
      </c>
    </row>
    <row r="10" spans="1:16" ht="13.5" thickBot="1" x14ac:dyDescent="0.25"/>
    <row r="11" spans="1:16" ht="12.75" customHeight="1" thickBot="1" x14ac:dyDescent="0.25">
      <c r="A11" s="13" t="str">
        <f t="shared" ref="A11:A40" si="0">P11</f>
        <v>IBVS 4887 </v>
      </c>
      <c r="B11" s="3" t="str">
        <f t="shared" ref="B11:B40" si="1">IF(H11=INT(H11),"I","II")</f>
        <v>II</v>
      </c>
      <c r="C11" s="13">
        <f t="shared" ref="C11:C40" si="2">1*G11</f>
        <v>50030.372000000003</v>
      </c>
      <c r="D11" s="16" t="str">
        <f t="shared" ref="D11:D40" si="3">VLOOKUP(F11,I$1:J$5,2,FALSE)</f>
        <v>vis</v>
      </c>
      <c r="E11" s="37">
        <f>VLOOKUP(C11,Active!C$21:E$973,3,FALSE)</f>
        <v>39314.619482259128</v>
      </c>
      <c r="F11" s="3" t="s">
        <v>65</v>
      </c>
      <c r="G11" s="16" t="str">
        <f t="shared" ref="G11:G40" si="4">MID(I11,3,LEN(I11)-3)</f>
        <v>50030.3720</v>
      </c>
      <c r="H11" s="13">
        <f t="shared" ref="H11:H40" si="5">1*K11</f>
        <v>39314.5</v>
      </c>
      <c r="I11" s="38" t="s">
        <v>67</v>
      </c>
      <c r="J11" s="39" t="s">
        <v>68</v>
      </c>
      <c r="K11" s="38">
        <v>39314.5</v>
      </c>
      <c r="L11" s="38" t="s">
        <v>69</v>
      </c>
      <c r="M11" s="39" t="s">
        <v>70</v>
      </c>
      <c r="N11" s="39" t="s">
        <v>71</v>
      </c>
      <c r="O11" s="40" t="s">
        <v>72</v>
      </c>
      <c r="P11" s="41" t="s">
        <v>73</v>
      </c>
    </row>
    <row r="12" spans="1:16" ht="12.75" customHeight="1" thickBot="1" x14ac:dyDescent="0.25">
      <c r="A12" s="13" t="str">
        <f t="shared" si="0"/>
        <v>IBVS 4887 </v>
      </c>
      <c r="B12" s="3" t="str">
        <f t="shared" si="1"/>
        <v>I</v>
      </c>
      <c r="C12" s="13">
        <f t="shared" si="2"/>
        <v>50660.529000000002</v>
      </c>
      <c r="D12" s="16" t="str">
        <f t="shared" si="3"/>
        <v>vis</v>
      </c>
      <c r="E12" s="37">
        <f>VLOOKUP(C12,Active!C$21:E$973,3,FALSE)</f>
        <v>40296.141864739417</v>
      </c>
      <c r="F12" s="3" t="s">
        <v>65</v>
      </c>
      <c r="G12" s="16" t="str">
        <f t="shared" si="4"/>
        <v>50660.5290</v>
      </c>
      <c r="H12" s="13">
        <f t="shared" si="5"/>
        <v>40296</v>
      </c>
      <c r="I12" s="38" t="s">
        <v>74</v>
      </c>
      <c r="J12" s="39" t="s">
        <v>75</v>
      </c>
      <c r="K12" s="38">
        <v>40296</v>
      </c>
      <c r="L12" s="38" t="s">
        <v>76</v>
      </c>
      <c r="M12" s="39" t="s">
        <v>70</v>
      </c>
      <c r="N12" s="39" t="s">
        <v>71</v>
      </c>
      <c r="O12" s="40" t="s">
        <v>77</v>
      </c>
      <c r="P12" s="41" t="s">
        <v>73</v>
      </c>
    </row>
    <row r="13" spans="1:16" ht="12.75" customHeight="1" thickBot="1" x14ac:dyDescent="0.25">
      <c r="A13" s="13" t="str">
        <f t="shared" si="0"/>
        <v>IBVS 4888 </v>
      </c>
      <c r="B13" s="3" t="str">
        <f t="shared" si="1"/>
        <v>II</v>
      </c>
      <c r="C13" s="13">
        <f t="shared" si="2"/>
        <v>51043.501700000001</v>
      </c>
      <c r="D13" s="16" t="str">
        <f t="shared" si="3"/>
        <v>vis</v>
      </c>
      <c r="E13" s="37">
        <f>VLOOKUP(C13,Active!C$21:E$973,3,FALSE)</f>
        <v>40892.65396716613</v>
      </c>
      <c r="F13" s="3" t="s">
        <v>65</v>
      </c>
      <c r="G13" s="16" t="str">
        <f t="shared" si="4"/>
        <v>51043.5017</v>
      </c>
      <c r="H13" s="13">
        <f t="shared" si="5"/>
        <v>40892.5</v>
      </c>
      <c r="I13" s="38" t="s">
        <v>78</v>
      </c>
      <c r="J13" s="39" t="s">
        <v>79</v>
      </c>
      <c r="K13" s="38">
        <v>40892.5</v>
      </c>
      <c r="L13" s="38" t="s">
        <v>80</v>
      </c>
      <c r="M13" s="39" t="s">
        <v>70</v>
      </c>
      <c r="N13" s="39" t="s">
        <v>71</v>
      </c>
      <c r="O13" s="40" t="s">
        <v>77</v>
      </c>
      <c r="P13" s="41" t="s">
        <v>81</v>
      </c>
    </row>
    <row r="14" spans="1:16" ht="12.75" customHeight="1" thickBot="1" x14ac:dyDescent="0.25">
      <c r="A14" s="13" t="str">
        <f t="shared" si="0"/>
        <v>IBVS 5263 </v>
      </c>
      <c r="B14" s="3" t="str">
        <f t="shared" si="1"/>
        <v>II</v>
      </c>
      <c r="C14" s="13">
        <f t="shared" si="2"/>
        <v>51465.301899999999</v>
      </c>
      <c r="D14" s="16" t="str">
        <f t="shared" si="3"/>
        <v>vis</v>
      </c>
      <c r="E14" s="37">
        <f>VLOOKUP(C14,Active!C$21:E$973,3,FALSE)</f>
        <v>41549.643157534032</v>
      </c>
      <c r="F14" s="3" t="s">
        <v>65</v>
      </c>
      <c r="G14" s="16" t="str">
        <f t="shared" si="4"/>
        <v>51465.3019</v>
      </c>
      <c r="H14" s="13">
        <f t="shared" si="5"/>
        <v>41549.5</v>
      </c>
      <c r="I14" s="38" t="s">
        <v>82</v>
      </c>
      <c r="J14" s="39" t="s">
        <v>83</v>
      </c>
      <c r="K14" s="38">
        <v>41549.5</v>
      </c>
      <c r="L14" s="38" t="s">
        <v>84</v>
      </c>
      <c r="M14" s="39" t="s">
        <v>70</v>
      </c>
      <c r="N14" s="39" t="s">
        <v>71</v>
      </c>
      <c r="O14" s="40" t="s">
        <v>85</v>
      </c>
      <c r="P14" s="41" t="s">
        <v>86</v>
      </c>
    </row>
    <row r="15" spans="1:16" ht="12.75" customHeight="1" thickBot="1" x14ac:dyDescent="0.25">
      <c r="A15" s="13" t="str">
        <f t="shared" si="0"/>
        <v>IBVS 5263 </v>
      </c>
      <c r="B15" s="3" t="str">
        <f t="shared" si="1"/>
        <v>II</v>
      </c>
      <c r="C15" s="13">
        <f t="shared" si="2"/>
        <v>51535.288800000002</v>
      </c>
      <c r="D15" s="16" t="str">
        <f t="shared" si="3"/>
        <v>vis</v>
      </c>
      <c r="E15" s="37">
        <f>VLOOKUP(C15,Active!C$21:E$973,3,FALSE)</f>
        <v>41658.653624497681</v>
      </c>
      <c r="F15" s="3" t="s">
        <v>65</v>
      </c>
      <c r="G15" s="16" t="str">
        <f t="shared" si="4"/>
        <v>51535.2888</v>
      </c>
      <c r="H15" s="13">
        <f t="shared" si="5"/>
        <v>41658.5</v>
      </c>
      <c r="I15" s="38" t="s">
        <v>87</v>
      </c>
      <c r="J15" s="39" t="s">
        <v>88</v>
      </c>
      <c r="K15" s="38">
        <v>41658.5</v>
      </c>
      <c r="L15" s="38" t="s">
        <v>89</v>
      </c>
      <c r="M15" s="39" t="s">
        <v>70</v>
      </c>
      <c r="N15" s="39" t="s">
        <v>71</v>
      </c>
      <c r="O15" s="40" t="s">
        <v>85</v>
      </c>
      <c r="P15" s="41" t="s">
        <v>86</v>
      </c>
    </row>
    <row r="16" spans="1:16" ht="12.75" customHeight="1" thickBot="1" x14ac:dyDescent="0.25">
      <c r="A16" s="13" t="str">
        <f t="shared" si="0"/>
        <v>OEJV 0074 </v>
      </c>
      <c r="B16" s="3" t="str">
        <f t="shared" si="1"/>
        <v>II</v>
      </c>
      <c r="C16" s="13">
        <f t="shared" si="2"/>
        <v>51780.542800000003</v>
      </c>
      <c r="D16" s="16" t="str">
        <f t="shared" si="3"/>
        <v>vis</v>
      </c>
      <c r="E16" s="37">
        <f>VLOOKUP(C16,Active!C$21:E$973,3,FALSE)</f>
        <v>42040.657300395629</v>
      </c>
      <c r="F16" s="3" t="s">
        <v>65</v>
      </c>
      <c r="G16" s="16" t="str">
        <f t="shared" si="4"/>
        <v>51780.54280</v>
      </c>
      <c r="H16" s="13">
        <f t="shared" si="5"/>
        <v>42040.5</v>
      </c>
      <c r="I16" s="38" t="s">
        <v>90</v>
      </c>
      <c r="J16" s="39" t="s">
        <v>91</v>
      </c>
      <c r="K16" s="38">
        <v>42040.5</v>
      </c>
      <c r="L16" s="38" t="s">
        <v>92</v>
      </c>
      <c r="M16" s="39" t="s">
        <v>93</v>
      </c>
      <c r="N16" s="39" t="s">
        <v>94</v>
      </c>
      <c r="O16" s="40" t="s">
        <v>95</v>
      </c>
      <c r="P16" s="41" t="s">
        <v>96</v>
      </c>
    </row>
    <row r="17" spans="1:16" ht="12.75" customHeight="1" thickBot="1" x14ac:dyDescent="0.25">
      <c r="A17" s="13" t="str">
        <f t="shared" si="0"/>
        <v>OEJV 0074 </v>
      </c>
      <c r="B17" s="3" t="str">
        <f t="shared" si="1"/>
        <v>II</v>
      </c>
      <c r="C17" s="13">
        <f t="shared" si="2"/>
        <v>51838.324690000001</v>
      </c>
      <c r="D17" s="16" t="str">
        <f t="shared" si="3"/>
        <v>vis</v>
      </c>
      <c r="E17" s="37">
        <f>VLOOKUP(C17,Active!C$21:E$973,3,FALSE)</f>
        <v>42130.657440578179</v>
      </c>
      <c r="F17" s="3" t="s">
        <v>65</v>
      </c>
      <c r="G17" s="16" t="str">
        <f t="shared" si="4"/>
        <v>51838.32469</v>
      </c>
      <c r="H17" s="13">
        <f t="shared" si="5"/>
        <v>42130.5</v>
      </c>
      <c r="I17" s="38" t="s">
        <v>97</v>
      </c>
      <c r="J17" s="39" t="s">
        <v>98</v>
      </c>
      <c r="K17" s="38">
        <v>42130.5</v>
      </c>
      <c r="L17" s="38" t="s">
        <v>99</v>
      </c>
      <c r="M17" s="39" t="s">
        <v>93</v>
      </c>
      <c r="N17" s="39" t="s">
        <v>94</v>
      </c>
      <c r="O17" s="40" t="s">
        <v>95</v>
      </c>
      <c r="P17" s="41" t="s">
        <v>96</v>
      </c>
    </row>
    <row r="18" spans="1:16" ht="12.75" customHeight="1" thickBot="1" x14ac:dyDescent="0.25">
      <c r="A18" s="13" t="str">
        <f t="shared" si="0"/>
        <v>OEJV 0074 </v>
      </c>
      <c r="B18" s="3" t="str">
        <f t="shared" si="1"/>
        <v>II</v>
      </c>
      <c r="C18" s="13">
        <f t="shared" si="2"/>
        <v>51899.320460000003</v>
      </c>
      <c r="D18" s="16" t="str">
        <f t="shared" si="3"/>
        <v>vis</v>
      </c>
      <c r="E18" s="37">
        <f>VLOOKUP(C18,Active!C$21:E$973,3,FALSE)</f>
        <v>42225.663468427781</v>
      </c>
      <c r="F18" s="3" t="s">
        <v>65</v>
      </c>
      <c r="G18" s="16" t="str">
        <f t="shared" si="4"/>
        <v>51899.32046</v>
      </c>
      <c r="H18" s="13">
        <f t="shared" si="5"/>
        <v>42225.5</v>
      </c>
      <c r="I18" s="38" t="s">
        <v>100</v>
      </c>
      <c r="J18" s="39" t="s">
        <v>101</v>
      </c>
      <c r="K18" s="38">
        <v>42225.5</v>
      </c>
      <c r="L18" s="38" t="s">
        <v>102</v>
      </c>
      <c r="M18" s="39" t="s">
        <v>93</v>
      </c>
      <c r="N18" s="39" t="s">
        <v>94</v>
      </c>
      <c r="O18" s="40" t="s">
        <v>95</v>
      </c>
      <c r="P18" s="41" t="s">
        <v>96</v>
      </c>
    </row>
    <row r="19" spans="1:16" ht="12.75" customHeight="1" thickBot="1" x14ac:dyDescent="0.25">
      <c r="A19" s="13" t="str">
        <f t="shared" si="0"/>
        <v>IBVS 5583 </v>
      </c>
      <c r="B19" s="3" t="str">
        <f t="shared" si="1"/>
        <v>II</v>
      </c>
      <c r="C19" s="13">
        <f t="shared" si="2"/>
        <v>52062.3874</v>
      </c>
      <c r="D19" s="16" t="str">
        <f t="shared" si="3"/>
        <v>vis</v>
      </c>
      <c r="E19" s="37">
        <f>VLOOKUP(C19,Active!C$21:E$973,3,FALSE)</f>
        <v>42479.653904862775</v>
      </c>
      <c r="F19" s="3" t="s">
        <v>65</v>
      </c>
      <c r="G19" s="16" t="str">
        <f t="shared" si="4"/>
        <v>52062.3874</v>
      </c>
      <c r="H19" s="13">
        <f t="shared" si="5"/>
        <v>42479.5</v>
      </c>
      <c r="I19" s="38" t="s">
        <v>103</v>
      </c>
      <c r="J19" s="39" t="s">
        <v>104</v>
      </c>
      <c r="K19" s="38">
        <v>42479.5</v>
      </c>
      <c r="L19" s="38" t="s">
        <v>80</v>
      </c>
      <c r="M19" s="39" t="s">
        <v>70</v>
      </c>
      <c r="N19" s="39" t="s">
        <v>71</v>
      </c>
      <c r="O19" s="40" t="s">
        <v>85</v>
      </c>
      <c r="P19" s="41" t="s">
        <v>105</v>
      </c>
    </row>
    <row r="20" spans="1:16" ht="12.75" customHeight="1" thickBot="1" x14ac:dyDescent="0.25">
      <c r="A20" s="13" t="str">
        <f t="shared" si="0"/>
        <v>BAVM 172 </v>
      </c>
      <c r="B20" s="3" t="str">
        <f t="shared" si="1"/>
        <v>I</v>
      </c>
      <c r="C20" s="13">
        <f t="shared" si="2"/>
        <v>52929.452299999997</v>
      </c>
      <c r="D20" s="16" t="str">
        <f t="shared" si="3"/>
        <v>vis</v>
      </c>
      <c r="E20" s="37">
        <f>VLOOKUP(C20,Active!C$21:E$973,3,FALSE)</f>
        <v>43830.180212454434</v>
      </c>
      <c r="F20" s="3" t="s">
        <v>65</v>
      </c>
      <c r="G20" s="16" t="str">
        <f t="shared" si="4"/>
        <v>52929.4523</v>
      </c>
      <c r="H20" s="13">
        <f t="shared" si="5"/>
        <v>43830</v>
      </c>
      <c r="I20" s="38" t="s">
        <v>111</v>
      </c>
      <c r="J20" s="39" t="s">
        <v>112</v>
      </c>
      <c r="K20" s="38">
        <v>43830</v>
      </c>
      <c r="L20" s="38" t="s">
        <v>113</v>
      </c>
      <c r="M20" s="39" t="s">
        <v>70</v>
      </c>
      <c r="N20" s="39" t="s">
        <v>94</v>
      </c>
      <c r="O20" s="40" t="s">
        <v>114</v>
      </c>
      <c r="P20" s="41" t="s">
        <v>115</v>
      </c>
    </row>
    <row r="21" spans="1:16" ht="12.75" customHeight="1" thickBot="1" x14ac:dyDescent="0.25">
      <c r="A21" s="13" t="str">
        <f t="shared" si="0"/>
        <v>BAVM 173 </v>
      </c>
      <c r="B21" s="3" t="str">
        <f t="shared" si="1"/>
        <v>I</v>
      </c>
      <c r="C21" s="13">
        <f t="shared" si="2"/>
        <v>53216.438300000002</v>
      </c>
      <c r="D21" s="16" t="str">
        <f t="shared" si="3"/>
        <v>vis</v>
      </c>
      <c r="E21" s="37">
        <f>VLOOKUP(C21,Active!C$21:E$973,3,FALSE)</f>
        <v>44277.184978661106</v>
      </c>
      <c r="F21" s="3" t="s">
        <v>65</v>
      </c>
      <c r="G21" s="16" t="str">
        <f t="shared" si="4"/>
        <v>53216.4383</v>
      </c>
      <c r="H21" s="13">
        <f t="shared" si="5"/>
        <v>44277</v>
      </c>
      <c r="I21" s="38" t="s">
        <v>116</v>
      </c>
      <c r="J21" s="39" t="s">
        <v>117</v>
      </c>
      <c r="K21" s="38">
        <v>44277</v>
      </c>
      <c r="L21" s="38" t="s">
        <v>118</v>
      </c>
      <c r="M21" s="39" t="s">
        <v>70</v>
      </c>
      <c r="N21" s="39" t="s">
        <v>94</v>
      </c>
      <c r="O21" s="40" t="s">
        <v>114</v>
      </c>
      <c r="P21" s="41" t="s">
        <v>119</v>
      </c>
    </row>
    <row r="22" spans="1:16" ht="12.75" customHeight="1" thickBot="1" x14ac:dyDescent="0.25">
      <c r="A22" s="13" t="str">
        <f t="shared" si="0"/>
        <v>BAVM 173 </v>
      </c>
      <c r="B22" s="3" t="str">
        <f t="shared" si="1"/>
        <v>II</v>
      </c>
      <c r="C22" s="13">
        <f t="shared" si="2"/>
        <v>53222.543700000002</v>
      </c>
      <c r="D22" s="16" t="str">
        <f t="shared" si="3"/>
        <v>vis</v>
      </c>
      <c r="E22" s="37">
        <f>VLOOKUP(C22,Active!C$21:E$973,3,FALSE)</f>
        <v>44286.69465125697</v>
      </c>
      <c r="F22" s="3" t="s">
        <v>65</v>
      </c>
      <c r="G22" s="16" t="str">
        <f t="shared" si="4"/>
        <v>53222.5437</v>
      </c>
      <c r="H22" s="13">
        <f t="shared" si="5"/>
        <v>44286.5</v>
      </c>
      <c r="I22" s="38" t="s">
        <v>120</v>
      </c>
      <c r="J22" s="39" t="s">
        <v>121</v>
      </c>
      <c r="K22" s="38">
        <v>44286.5</v>
      </c>
      <c r="L22" s="38" t="s">
        <v>122</v>
      </c>
      <c r="M22" s="39" t="s">
        <v>70</v>
      </c>
      <c r="N22" s="39" t="s">
        <v>94</v>
      </c>
      <c r="O22" s="40" t="s">
        <v>114</v>
      </c>
      <c r="P22" s="41" t="s">
        <v>119</v>
      </c>
    </row>
    <row r="23" spans="1:16" ht="12.75" customHeight="1" thickBot="1" x14ac:dyDescent="0.25">
      <c r="A23" s="13" t="str">
        <f t="shared" si="0"/>
        <v>BAVM 173 </v>
      </c>
      <c r="B23" s="3" t="str">
        <f t="shared" si="1"/>
        <v>II</v>
      </c>
      <c r="C23" s="13">
        <f t="shared" si="2"/>
        <v>53233.455600000001</v>
      </c>
      <c r="D23" s="16" t="str">
        <f t="shared" si="3"/>
        <v>vis</v>
      </c>
      <c r="E23" s="37">
        <f>VLOOKUP(C23,Active!C$21:E$973,3,FALSE)</f>
        <v>44303.690850752311</v>
      </c>
      <c r="F23" s="3" t="s">
        <v>65</v>
      </c>
      <c r="G23" s="16" t="str">
        <f t="shared" si="4"/>
        <v>53233.4556</v>
      </c>
      <c r="H23" s="13">
        <f t="shared" si="5"/>
        <v>44303.5</v>
      </c>
      <c r="I23" s="38" t="s">
        <v>123</v>
      </c>
      <c r="J23" s="39" t="s">
        <v>124</v>
      </c>
      <c r="K23" s="38">
        <v>44303.5</v>
      </c>
      <c r="L23" s="38" t="s">
        <v>125</v>
      </c>
      <c r="M23" s="39" t="s">
        <v>70</v>
      </c>
      <c r="N23" s="39" t="s">
        <v>94</v>
      </c>
      <c r="O23" s="40" t="s">
        <v>114</v>
      </c>
      <c r="P23" s="41" t="s">
        <v>119</v>
      </c>
    </row>
    <row r="24" spans="1:16" ht="12.75" customHeight="1" thickBot="1" x14ac:dyDescent="0.25">
      <c r="A24" s="13" t="str">
        <f t="shared" si="0"/>
        <v>BAVM 173 </v>
      </c>
      <c r="B24" s="3" t="str">
        <f t="shared" si="1"/>
        <v>II</v>
      </c>
      <c r="C24" s="13">
        <f t="shared" si="2"/>
        <v>53242.444199999998</v>
      </c>
      <c r="D24" s="16" t="str">
        <f t="shared" si="3"/>
        <v>vis</v>
      </c>
      <c r="E24" s="37">
        <f>VLOOKUP(C24,Active!C$21:E$973,3,FALSE)</f>
        <v>44317.691349179149</v>
      </c>
      <c r="F24" s="3" t="s">
        <v>65</v>
      </c>
      <c r="G24" s="16" t="str">
        <f t="shared" si="4"/>
        <v>53242.4442</v>
      </c>
      <c r="H24" s="13">
        <f t="shared" si="5"/>
        <v>44317.5</v>
      </c>
      <c r="I24" s="38" t="s">
        <v>126</v>
      </c>
      <c r="J24" s="39" t="s">
        <v>127</v>
      </c>
      <c r="K24" s="38">
        <v>44317.5</v>
      </c>
      <c r="L24" s="38" t="s">
        <v>128</v>
      </c>
      <c r="M24" s="39" t="s">
        <v>70</v>
      </c>
      <c r="N24" s="39" t="s">
        <v>94</v>
      </c>
      <c r="O24" s="40" t="s">
        <v>114</v>
      </c>
      <c r="P24" s="41" t="s">
        <v>119</v>
      </c>
    </row>
    <row r="25" spans="1:16" ht="12.75" customHeight="1" thickBot="1" x14ac:dyDescent="0.25">
      <c r="A25" s="13" t="str">
        <f t="shared" si="0"/>
        <v>BAVM 173 </v>
      </c>
      <c r="B25" s="3" t="str">
        <f t="shared" si="1"/>
        <v>I</v>
      </c>
      <c r="C25" s="13">
        <f t="shared" si="2"/>
        <v>53250.469700000001</v>
      </c>
      <c r="D25" s="16" t="str">
        <f t="shared" si="3"/>
        <v>vis</v>
      </c>
      <c r="E25" s="37">
        <f>VLOOKUP(C25,Active!C$21:E$973,3,FALSE)</f>
        <v>44330.191738575122</v>
      </c>
      <c r="F25" s="3" t="s">
        <v>65</v>
      </c>
      <c r="G25" s="16" t="str">
        <f t="shared" si="4"/>
        <v>53250.4697</v>
      </c>
      <c r="H25" s="13">
        <f t="shared" si="5"/>
        <v>44330</v>
      </c>
      <c r="I25" s="38" t="s">
        <v>129</v>
      </c>
      <c r="J25" s="39" t="s">
        <v>130</v>
      </c>
      <c r="K25" s="38">
        <v>44330</v>
      </c>
      <c r="L25" s="38" t="s">
        <v>131</v>
      </c>
      <c r="M25" s="39" t="s">
        <v>70</v>
      </c>
      <c r="N25" s="39" t="s">
        <v>94</v>
      </c>
      <c r="O25" s="40" t="s">
        <v>114</v>
      </c>
      <c r="P25" s="41" t="s">
        <v>119</v>
      </c>
    </row>
    <row r="26" spans="1:16" ht="12.75" customHeight="1" thickBot="1" x14ac:dyDescent="0.25">
      <c r="A26" s="13" t="str">
        <f t="shared" si="0"/>
        <v>BAVM 173 </v>
      </c>
      <c r="B26" s="3" t="str">
        <f t="shared" si="1"/>
        <v>II</v>
      </c>
      <c r="C26" s="13">
        <f t="shared" si="2"/>
        <v>53251.431799999998</v>
      </c>
      <c r="D26" s="16" t="str">
        <f t="shared" si="3"/>
        <v>vis</v>
      </c>
      <c r="E26" s="37">
        <f>VLOOKUP(C26,Active!C$21:E$973,3,FALSE)</f>
        <v>44331.690290022118</v>
      </c>
      <c r="F26" s="3" t="s">
        <v>65</v>
      </c>
      <c r="G26" s="16" t="str">
        <f t="shared" si="4"/>
        <v>53251.4318</v>
      </c>
      <c r="H26" s="13">
        <f t="shared" si="5"/>
        <v>44331.5</v>
      </c>
      <c r="I26" s="38" t="s">
        <v>132</v>
      </c>
      <c r="J26" s="39" t="s">
        <v>133</v>
      </c>
      <c r="K26" s="38">
        <v>44331.5</v>
      </c>
      <c r="L26" s="38" t="s">
        <v>134</v>
      </c>
      <c r="M26" s="39" t="s">
        <v>70</v>
      </c>
      <c r="N26" s="39" t="s">
        <v>94</v>
      </c>
      <c r="O26" s="40" t="s">
        <v>114</v>
      </c>
      <c r="P26" s="41" t="s">
        <v>119</v>
      </c>
    </row>
    <row r="27" spans="1:16" ht="12.75" customHeight="1" thickBot="1" x14ac:dyDescent="0.25">
      <c r="A27" s="13" t="str">
        <f t="shared" si="0"/>
        <v>BAVM 173 </v>
      </c>
      <c r="B27" s="3" t="str">
        <f t="shared" si="1"/>
        <v>I</v>
      </c>
      <c r="C27" s="13">
        <f t="shared" si="2"/>
        <v>53257.537799999998</v>
      </c>
      <c r="D27" s="16" t="str">
        <f t="shared" si="3"/>
        <v>vis</v>
      </c>
      <c r="E27" s="37">
        <f>VLOOKUP(C27,Active!C$21:E$973,3,FALSE)</f>
        <v>44341.20089716831</v>
      </c>
      <c r="F27" s="3" t="s">
        <v>65</v>
      </c>
      <c r="G27" s="16" t="str">
        <f t="shared" si="4"/>
        <v>53257.5378</v>
      </c>
      <c r="H27" s="13">
        <f t="shared" si="5"/>
        <v>44341</v>
      </c>
      <c r="I27" s="38" t="s">
        <v>135</v>
      </c>
      <c r="J27" s="39" t="s">
        <v>136</v>
      </c>
      <c r="K27" s="38">
        <v>44341</v>
      </c>
      <c r="L27" s="38" t="s">
        <v>137</v>
      </c>
      <c r="M27" s="39" t="s">
        <v>70</v>
      </c>
      <c r="N27" s="39" t="s">
        <v>94</v>
      </c>
      <c r="O27" s="40" t="s">
        <v>114</v>
      </c>
      <c r="P27" s="41" t="s">
        <v>119</v>
      </c>
    </row>
    <row r="28" spans="1:16" ht="12.75" customHeight="1" thickBot="1" x14ac:dyDescent="0.25">
      <c r="A28" s="13" t="str">
        <f t="shared" si="0"/>
        <v>BAVM 173 </v>
      </c>
      <c r="B28" s="3" t="str">
        <f t="shared" si="1"/>
        <v>I</v>
      </c>
      <c r="C28" s="13">
        <f t="shared" si="2"/>
        <v>53284.499600000003</v>
      </c>
      <c r="D28" s="16" t="str">
        <f t="shared" si="3"/>
        <v>vis</v>
      </c>
      <c r="E28" s="37">
        <f>VLOOKUP(C28,Active!C$21:E$973,3,FALSE)</f>
        <v>44383.196162113331</v>
      </c>
      <c r="F28" s="3" t="s">
        <v>65</v>
      </c>
      <c r="G28" s="16" t="str">
        <f t="shared" si="4"/>
        <v>53284.4996</v>
      </c>
      <c r="H28" s="13">
        <f t="shared" si="5"/>
        <v>44383</v>
      </c>
      <c r="I28" s="38" t="s">
        <v>138</v>
      </c>
      <c r="J28" s="39" t="s">
        <v>139</v>
      </c>
      <c r="K28" s="38">
        <v>44383</v>
      </c>
      <c r="L28" s="38" t="s">
        <v>140</v>
      </c>
      <c r="M28" s="39" t="s">
        <v>70</v>
      </c>
      <c r="N28" s="39" t="s">
        <v>141</v>
      </c>
      <c r="O28" s="40" t="s">
        <v>114</v>
      </c>
      <c r="P28" s="41" t="s">
        <v>119</v>
      </c>
    </row>
    <row r="29" spans="1:16" ht="12.75" customHeight="1" thickBot="1" x14ac:dyDescent="0.25">
      <c r="A29" s="13" t="str">
        <f t="shared" si="0"/>
        <v>IBVS 5653 </v>
      </c>
      <c r="B29" s="3" t="str">
        <f t="shared" si="1"/>
        <v>II</v>
      </c>
      <c r="C29" s="13">
        <f t="shared" si="2"/>
        <v>53341.313800000004</v>
      </c>
      <c r="D29" s="16" t="str">
        <f t="shared" si="3"/>
        <v>vis</v>
      </c>
      <c r="E29" s="37">
        <f>VLOOKUP(C29,Active!C$21:E$973,3,FALSE)</f>
        <v>44471.689043955019</v>
      </c>
      <c r="F29" s="3" t="s">
        <v>65</v>
      </c>
      <c r="G29" s="16" t="str">
        <f t="shared" si="4"/>
        <v>53341.3138</v>
      </c>
      <c r="H29" s="13">
        <f t="shared" si="5"/>
        <v>44471.5</v>
      </c>
      <c r="I29" s="38" t="s">
        <v>142</v>
      </c>
      <c r="J29" s="39" t="s">
        <v>143</v>
      </c>
      <c r="K29" s="38" t="s">
        <v>144</v>
      </c>
      <c r="L29" s="38" t="s">
        <v>145</v>
      </c>
      <c r="M29" s="39" t="s">
        <v>70</v>
      </c>
      <c r="N29" s="39" t="s">
        <v>71</v>
      </c>
      <c r="O29" s="40" t="s">
        <v>146</v>
      </c>
      <c r="P29" s="41" t="s">
        <v>147</v>
      </c>
    </row>
    <row r="30" spans="1:16" ht="12.75" customHeight="1" thickBot="1" x14ac:dyDescent="0.25">
      <c r="A30" s="13" t="str">
        <f t="shared" si="0"/>
        <v>IBVS 5653 </v>
      </c>
      <c r="B30" s="3" t="str">
        <f t="shared" si="1"/>
        <v>II</v>
      </c>
      <c r="C30" s="13">
        <f t="shared" si="2"/>
        <v>53341.317000000003</v>
      </c>
      <c r="D30" s="16" t="str">
        <f t="shared" si="3"/>
        <v>vis</v>
      </c>
      <c r="E30" s="37">
        <f>VLOOKUP(C30,Active!C$21:E$973,3,FALSE)</f>
        <v>44471.694028223421</v>
      </c>
      <c r="F30" s="3" t="s">
        <v>65</v>
      </c>
      <c r="G30" s="16" t="str">
        <f t="shared" si="4"/>
        <v>53341.317</v>
      </c>
      <c r="H30" s="13">
        <f t="shared" si="5"/>
        <v>44471.5</v>
      </c>
      <c r="I30" s="38" t="s">
        <v>148</v>
      </c>
      <c r="J30" s="39" t="s">
        <v>149</v>
      </c>
      <c r="K30" s="38" t="s">
        <v>144</v>
      </c>
      <c r="L30" s="38" t="s">
        <v>150</v>
      </c>
      <c r="M30" s="39" t="s">
        <v>70</v>
      </c>
      <c r="N30" s="39" t="s">
        <v>71</v>
      </c>
      <c r="O30" s="40" t="s">
        <v>109</v>
      </c>
      <c r="P30" s="41" t="s">
        <v>147</v>
      </c>
    </row>
    <row r="31" spans="1:16" ht="12.75" customHeight="1" thickBot="1" x14ac:dyDescent="0.25">
      <c r="A31" s="13" t="str">
        <f t="shared" si="0"/>
        <v>BAVM 178 </v>
      </c>
      <c r="B31" s="3" t="str">
        <f t="shared" si="1"/>
        <v>II</v>
      </c>
      <c r="C31" s="13">
        <f t="shared" si="2"/>
        <v>53613.537900000003</v>
      </c>
      <c r="D31" s="16" t="str">
        <f t="shared" si="3"/>
        <v>vis</v>
      </c>
      <c r="E31" s="37">
        <f>VLOOKUP(C31,Active!C$21:E$973,3,FALSE)</f>
        <v>44895.700912744156</v>
      </c>
      <c r="F31" s="3" t="s">
        <v>65</v>
      </c>
      <c r="G31" s="16" t="str">
        <f t="shared" si="4"/>
        <v>53613.5379</v>
      </c>
      <c r="H31" s="13">
        <f t="shared" si="5"/>
        <v>44895.5</v>
      </c>
      <c r="I31" s="38" t="s">
        <v>151</v>
      </c>
      <c r="J31" s="39" t="s">
        <v>152</v>
      </c>
      <c r="K31" s="38" t="s">
        <v>153</v>
      </c>
      <c r="L31" s="38" t="s">
        <v>137</v>
      </c>
      <c r="M31" s="39" t="s">
        <v>93</v>
      </c>
      <c r="N31" s="39" t="s">
        <v>141</v>
      </c>
      <c r="O31" s="40" t="s">
        <v>114</v>
      </c>
      <c r="P31" s="41" t="s">
        <v>154</v>
      </c>
    </row>
    <row r="32" spans="1:16" ht="12.75" customHeight="1" thickBot="1" x14ac:dyDescent="0.25">
      <c r="A32" s="13" t="str">
        <f t="shared" si="0"/>
        <v>BAVM 178 </v>
      </c>
      <c r="B32" s="3" t="str">
        <f t="shared" si="1"/>
        <v>II</v>
      </c>
      <c r="C32" s="13">
        <f t="shared" si="2"/>
        <v>53651.416400000002</v>
      </c>
      <c r="D32" s="16" t="str">
        <f t="shared" si="3"/>
        <v>vis</v>
      </c>
      <c r="E32" s="37">
        <f>VLOOKUP(C32,Active!C$21:E$973,3,FALSE)</f>
        <v>44954.699853587117</v>
      </c>
      <c r="F32" s="3" t="s">
        <v>65</v>
      </c>
      <c r="G32" s="16" t="str">
        <f t="shared" si="4"/>
        <v>53651.4164</v>
      </c>
      <c r="H32" s="13">
        <f t="shared" si="5"/>
        <v>44954.5</v>
      </c>
      <c r="I32" s="38" t="s">
        <v>159</v>
      </c>
      <c r="J32" s="39" t="s">
        <v>160</v>
      </c>
      <c r="K32" s="38" t="s">
        <v>161</v>
      </c>
      <c r="L32" s="38" t="s">
        <v>162</v>
      </c>
      <c r="M32" s="39" t="s">
        <v>93</v>
      </c>
      <c r="N32" s="39" t="s">
        <v>141</v>
      </c>
      <c r="O32" s="40" t="s">
        <v>114</v>
      </c>
      <c r="P32" s="41" t="s">
        <v>154</v>
      </c>
    </row>
    <row r="33" spans="1:16" ht="12.75" customHeight="1" thickBot="1" x14ac:dyDescent="0.25">
      <c r="A33" s="13" t="str">
        <f t="shared" si="0"/>
        <v>BAVM 183 </v>
      </c>
      <c r="B33" s="3" t="str">
        <f t="shared" si="1"/>
        <v>II</v>
      </c>
      <c r="C33" s="13">
        <f t="shared" si="2"/>
        <v>53936.477700000003</v>
      </c>
      <c r="D33" s="16" t="str">
        <f t="shared" si="3"/>
        <v>vis</v>
      </c>
      <c r="E33" s="37">
        <f>VLOOKUP(C33,Active!C$21:E$973,3,FALSE)</f>
        <v>45398.706738107852</v>
      </c>
      <c r="F33" s="3" t="s">
        <v>65</v>
      </c>
      <c r="G33" s="16" t="str">
        <f t="shared" si="4"/>
        <v>53936.4777</v>
      </c>
      <c r="H33" s="13">
        <f t="shared" si="5"/>
        <v>45398.5</v>
      </c>
      <c r="I33" s="38" t="s">
        <v>163</v>
      </c>
      <c r="J33" s="39" t="s">
        <v>164</v>
      </c>
      <c r="K33" s="38" t="s">
        <v>165</v>
      </c>
      <c r="L33" s="38" t="s">
        <v>166</v>
      </c>
      <c r="M33" s="39" t="s">
        <v>93</v>
      </c>
      <c r="N33" s="39" t="s">
        <v>94</v>
      </c>
      <c r="O33" s="40" t="s">
        <v>167</v>
      </c>
      <c r="P33" s="41" t="s">
        <v>168</v>
      </c>
    </row>
    <row r="34" spans="1:16" ht="12.75" customHeight="1" thickBot="1" x14ac:dyDescent="0.25">
      <c r="A34" s="13" t="str">
        <f t="shared" si="0"/>
        <v>BAVM 186 </v>
      </c>
      <c r="B34" s="3" t="str">
        <f t="shared" si="1"/>
        <v>II</v>
      </c>
      <c r="C34" s="13">
        <f t="shared" si="2"/>
        <v>53936.478300000002</v>
      </c>
      <c r="D34" s="16" t="str">
        <f t="shared" si="3"/>
        <v>vis</v>
      </c>
      <c r="E34" s="37">
        <f>VLOOKUP(C34,Active!C$21:E$973,3,FALSE)</f>
        <v>45398.70767265818</v>
      </c>
      <c r="F34" s="3" t="s">
        <v>65</v>
      </c>
      <c r="G34" s="16" t="str">
        <f t="shared" si="4"/>
        <v>53936.4783</v>
      </c>
      <c r="H34" s="13">
        <f t="shared" si="5"/>
        <v>45398.5</v>
      </c>
      <c r="I34" s="38" t="s">
        <v>169</v>
      </c>
      <c r="J34" s="39" t="s">
        <v>170</v>
      </c>
      <c r="K34" s="38" t="s">
        <v>165</v>
      </c>
      <c r="L34" s="38" t="s">
        <v>171</v>
      </c>
      <c r="M34" s="39" t="s">
        <v>93</v>
      </c>
      <c r="N34" s="39" t="s">
        <v>141</v>
      </c>
      <c r="O34" s="40" t="s">
        <v>172</v>
      </c>
      <c r="P34" s="41" t="s">
        <v>173</v>
      </c>
    </row>
    <row r="35" spans="1:16" ht="12.75" customHeight="1" thickBot="1" x14ac:dyDescent="0.25">
      <c r="A35" s="13" t="str">
        <f t="shared" si="0"/>
        <v>BAVM 215 </v>
      </c>
      <c r="B35" s="3" t="str">
        <f t="shared" si="1"/>
        <v>II</v>
      </c>
      <c r="C35" s="13">
        <f t="shared" si="2"/>
        <v>55428.5524</v>
      </c>
      <c r="D35" s="16" t="str">
        <f t="shared" si="3"/>
        <v>vis</v>
      </c>
      <c r="E35" s="37">
        <f>VLOOKUP(C35,Active!C$21:E$973,3,FALSE)</f>
        <v>47722.738232453819</v>
      </c>
      <c r="F35" s="3" t="s">
        <v>65</v>
      </c>
      <c r="G35" s="16" t="str">
        <f t="shared" si="4"/>
        <v>55428.5524</v>
      </c>
      <c r="H35" s="13">
        <f t="shared" si="5"/>
        <v>47722.5</v>
      </c>
      <c r="I35" s="38" t="s">
        <v>180</v>
      </c>
      <c r="J35" s="39" t="s">
        <v>181</v>
      </c>
      <c r="K35" s="38" t="s">
        <v>182</v>
      </c>
      <c r="L35" s="38" t="s">
        <v>183</v>
      </c>
      <c r="M35" s="39" t="s">
        <v>93</v>
      </c>
      <c r="N35" s="39" t="s">
        <v>94</v>
      </c>
      <c r="O35" s="40" t="s">
        <v>184</v>
      </c>
      <c r="P35" s="41" t="s">
        <v>185</v>
      </c>
    </row>
    <row r="36" spans="1:16" ht="12.75" customHeight="1" thickBot="1" x14ac:dyDescent="0.25">
      <c r="A36" s="13" t="str">
        <f t="shared" si="0"/>
        <v>IBVS 6011 </v>
      </c>
      <c r="B36" s="3" t="str">
        <f t="shared" si="1"/>
        <v>II</v>
      </c>
      <c r="C36" s="13">
        <f t="shared" si="2"/>
        <v>55849.727700000003</v>
      </c>
      <c r="D36" s="16" t="str">
        <f t="shared" si="3"/>
        <v>vis</v>
      </c>
      <c r="E36" s="37">
        <f>VLOOKUP(C36,Active!C$21:E$973,3,FALSE)</f>
        <v>48378.754088657675</v>
      </c>
      <c r="F36" s="3" t="s">
        <v>65</v>
      </c>
      <c r="G36" s="16" t="str">
        <f t="shared" si="4"/>
        <v>55849.7277</v>
      </c>
      <c r="H36" s="13">
        <f t="shared" si="5"/>
        <v>48378.5</v>
      </c>
      <c r="I36" s="38" t="s">
        <v>191</v>
      </c>
      <c r="J36" s="39" t="s">
        <v>192</v>
      </c>
      <c r="K36" s="38" t="s">
        <v>193</v>
      </c>
      <c r="L36" s="38" t="s">
        <v>194</v>
      </c>
      <c r="M36" s="39" t="s">
        <v>93</v>
      </c>
      <c r="N36" s="39" t="s">
        <v>65</v>
      </c>
      <c r="O36" s="40" t="s">
        <v>109</v>
      </c>
      <c r="P36" s="41" t="s">
        <v>195</v>
      </c>
    </row>
    <row r="37" spans="1:16" ht="12.75" customHeight="1" thickBot="1" x14ac:dyDescent="0.25">
      <c r="A37" s="13" t="str">
        <f t="shared" si="0"/>
        <v> BBS 126 </v>
      </c>
      <c r="B37" s="3" t="str">
        <f t="shared" si="1"/>
        <v>II</v>
      </c>
      <c r="C37" s="13">
        <f t="shared" si="2"/>
        <v>52144.572200000002</v>
      </c>
      <c r="D37" s="16" t="str">
        <f t="shared" si="3"/>
        <v>vis</v>
      </c>
      <c r="E37" s="37">
        <f>VLOOKUP(C37,Active!C$21:E$973,3,FALSE)</f>
        <v>42607.663624186163</v>
      </c>
      <c r="F37" s="3" t="s">
        <v>65</v>
      </c>
      <c r="G37" s="16" t="str">
        <f t="shared" si="4"/>
        <v>52144.5722</v>
      </c>
      <c r="H37" s="13">
        <f t="shared" si="5"/>
        <v>42607.5</v>
      </c>
      <c r="I37" s="38" t="s">
        <v>106</v>
      </c>
      <c r="J37" s="39" t="s">
        <v>107</v>
      </c>
      <c r="K37" s="38">
        <v>42607.5</v>
      </c>
      <c r="L37" s="38" t="s">
        <v>108</v>
      </c>
      <c r="M37" s="39" t="s">
        <v>70</v>
      </c>
      <c r="N37" s="39" t="s">
        <v>71</v>
      </c>
      <c r="O37" s="40" t="s">
        <v>109</v>
      </c>
      <c r="P37" s="40" t="s">
        <v>110</v>
      </c>
    </row>
    <row r="38" spans="1:16" ht="12.75" customHeight="1" thickBot="1" x14ac:dyDescent="0.25">
      <c r="A38" s="13" t="str">
        <f t="shared" si="0"/>
        <v>IBVS 5741 </v>
      </c>
      <c r="B38" s="3" t="str">
        <f t="shared" si="1"/>
        <v>II</v>
      </c>
      <c r="C38" s="13">
        <f t="shared" si="2"/>
        <v>53613.538099999998</v>
      </c>
      <c r="D38" s="16" t="str">
        <f t="shared" si="3"/>
        <v>vis</v>
      </c>
      <c r="E38" s="37">
        <f>VLOOKUP(C38,Active!C$21:E$973,3,FALSE)</f>
        <v>44895.70122426092</v>
      </c>
      <c r="F38" s="3" t="s">
        <v>65</v>
      </c>
      <c r="G38" s="16" t="str">
        <f t="shared" si="4"/>
        <v>53613.5381</v>
      </c>
      <c r="H38" s="13">
        <f t="shared" si="5"/>
        <v>44895.5</v>
      </c>
      <c r="I38" s="38" t="s">
        <v>155</v>
      </c>
      <c r="J38" s="39" t="s">
        <v>152</v>
      </c>
      <c r="K38" s="38" t="s">
        <v>153</v>
      </c>
      <c r="L38" s="38" t="s">
        <v>156</v>
      </c>
      <c r="M38" s="39" t="s">
        <v>70</v>
      </c>
      <c r="N38" s="39" t="s">
        <v>71</v>
      </c>
      <c r="O38" s="40" t="s">
        <v>157</v>
      </c>
      <c r="P38" s="41" t="s">
        <v>158</v>
      </c>
    </row>
    <row r="39" spans="1:16" ht="12.75" customHeight="1" thickBot="1" x14ac:dyDescent="0.25">
      <c r="A39" s="13" t="str">
        <f t="shared" si="0"/>
        <v>BAVM 212 </v>
      </c>
      <c r="B39" s="3" t="str">
        <f t="shared" si="1"/>
        <v>II</v>
      </c>
      <c r="C39" s="13">
        <f t="shared" si="2"/>
        <v>55048.4709</v>
      </c>
      <c r="D39" s="16" t="str">
        <f t="shared" si="3"/>
        <v>vis</v>
      </c>
      <c r="E39" s="37">
        <f>VLOOKUP(C39,Active!C$21:E$973,3,FALSE)</f>
        <v>47130.72941652908</v>
      </c>
      <c r="F39" s="3" t="s">
        <v>65</v>
      </c>
      <c r="G39" s="16" t="str">
        <f t="shared" si="4"/>
        <v>55048.4709</v>
      </c>
      <c r="H39" s="13">
        <f t="shared" si="5"/>
        <v>47130.5</v>
      </c>
      <c r="I39" s="38" t="s">
        <v>174</v>
      </c>
      <c r="J39" s="39" t="s">
        <v>175</v>
      </c>
      <c r="K39" s="38" t="s">
        <v>176</v>
      </c>
      <c r="L39" s="38" t="s">
        <v>177</v>
      </c>
      <c r="M39" s="39" t="s">
        <v>93</v>
      </c>
      <c r="N39" s="39" t="s">
        <v>94</v>
      </c>
      <c r="O39" s="40" t="s">
        <v>178</v>
      </c>
      <c r="P39" s="41" t="s">
        <v>179</v>
      </c>
    </row>
    <row r="40" spans="1:16" ht="12.75" customHeight="1" thickBot="1" x14ac:dyDescent="0.25">
      <c r="A40" s="13" t="str">
        <f t="shared" si="0"/>
        <v>BAVM 225 </v>
      </c>
      <c r="B40" s="3" t="str">
        <f t="shared" si="1"/>
        <v>I</v>
      </c>
      <c r="C40" s="13">
        <f t="shared" si="2"/>
        <v>55806.389799999997</v>
      </c>
      <c r="D40" s="16" t="str">
        <f t="shared" si="3"/>
        <v>vis</v>
      </c>
      <c r="E40" s="37">
        <f>VLOOKUP(C40,Active!C$21:E$973,3,FALSE)</f>
        <v>48311.251674402665</v>
      </c>
      <c r="F40" s="3" t="s">
        <v>65</v>
      </c>
      <c r="G40" s="16" t="str">
        <f t="shared" si="4"/>
        <v>55806.3898</v>
      </c>
      <c r="H40" s="13">
        <f t="shared" si="5"/>
        <v>48311</v>
      </c>
      <c r="I40" s="38" t="s">
        <v>186</v>
      </c>
      <c r="J40" s="39" t="s">
        <v>187</v>
      </c>
      <c r="K40" s="38" t="s">
        <v>188</v>
      </c>
      <c r="L40" s="38" t="s">
        <v>189</v>
      </c>
      <c r="M40" s="39" t="s">
        <v>93</v>
      </c>
      <c r="N40" s="39" t="s">
        <v>141</v>
      </c>
      <c r="O40" s="40" t="s">
        <v>114</v>
      </c>
      <c r="P40" s="41" t="s">
        <v>190</v>
      </c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</sheetData>
  <phoneticPr fontId="7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4888"/>
    <hyperlink ref="P14" r:id="rId4" display="http://www.konkoly.hu/cgi-bin/IBVS?5263"/>
    <hyperlink ref="P15" r:id="rId5" display="http://www.konkoly.hu/cgi-bin/IBVS?5263"/>
    <hyperlink ref="P16" r:id="rId6" display="http://var.astro.cz/oejv/issues/oejv0074.pdf"/>
    <hyperlink ref="P17" r:id="rId7" display="http://var.astro.cz/oejv/issues/oejv0074.pdf"/>
    <hyperlink ref="P18" r:id="rId8" display="http://var.astro.cz/oejv/issues/oejv0074.pdf"/>
    <hyperlink ref="P19" r:id="rId9" display="http://www.konkoly.hu/cgi-bin/IBVS?5583"/>
    <hyperlink ref="P20" r:id="rId10" display="http://www.bav-astro.de/sfs/BAVM_link.php?BAVMnr=172"/>
    <hyperlink ref="P21" r:id="rId11" display="http://www.bav-astro.de/sfs/BAVM_link.php?BAVMnr=173"/>
    <hyperlink ref="P22" r:id="rId12" display="http://www.bav-astro.de/sfs/BAVM_link.php?BAVMnr=173"/>
    <hyperlink ref="P23" r:id="rId13" display="http://www.bav-astro.de/sfs/BAVM_link.php?BAVMnr=173"/>
    <hyperlink ref="P24" r:id="rId14" display="http://www.bav-astro.de/sfs/BAVM_link.php?BAVMnr=173"/>
    <hyperlink ref="P25" r:id="rId15" display="http://www.bav-astro.de/sfs/BAVM_link.php?BAVMnr=173"/>
    <hyperlink ref="P26" r:id="rId16" display="http://www.bav-astro.de/sfs/BAVM_link.php?BAVMnr=173"/>
    <hyperlink ref="P27" r:id="rId17" display="http://www.bav-astro.de/sfs/BAVM_link.php?BAVMnr=173"/>
    <hyperlink ref="P28" r:id="rId18" display="http://www.bav-astro.de/sfs/BAVM_link.php?BAVMnr=173"/>
    <hyperlink ref="P29" r:id="rId19" display="http://www.konkoly.hu/cgi-bin/IBVS?5653"/>
    <hyperlink ref="P30" r:id="rId20" display="http://www.konkoly.hu/cgi-bin/IBVS?5653"/>
    <hyperlink ref="P31" r:id="rId21" display="http://www.bav-astro.de/sfs/BAVM_link.php?BAVMnr=178"/>
    <hyperlink ref="P38" r:id="rId22" display="http://www.konkoly.hu/cgi-bin/IBVS?5741"/>
    <hyperlink ref="P32" r:id="rId23" display="http://www.bav-astro.de/sfs/BAVM_link.php?BAVMnr=178"/>
    <hyperlink ref="P33" r:id="rId24" display="http://www.bav-astro.de/sfs/BAVM_link.php?BAVMnr=183"/>
    <hyperlink ref="P34" r:id="rId25" display="http://www.bav-astro.de/sfs/BAVM_link.php?BAVMnr=186"/>
    <hyperlink ref="P39" r:id="rId26" display="http://www.bav-astro.de/sfs/BAVM_link.php?BAVMnr=212"/>
    <hyperlink ref="P35" r:id="rId27" display="http://www.bav-astro.de/sfs/BAVM_link.php?BAVMnr=215"/>
    <hyperlink ref="P40" r:id="rId28" display="http://www.bav-astro.de/sfs/BAVM_link.php?BAVMnr=225"/>
    <hyperlink ref="P36" r:id="rId29" display="http://www.konkoly.hu/cgi-bin/IBVS?601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2024-03-02T03:50:55Z</dcterms:modified>
</cp:coreProperties>
</file>