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72EB15-463A-43C9-AA96-3CC85791D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BAV" sheetId="4" r:id="rId2"/>
  </sheets>
  <calcPr calcId="181029"/>
</workbook>
</file>

<file path=xl/calcChain.xml><?xml version="1.0" encoding="utf-8"?>
<calcChain xmlns="http://schemas.openxmlformats.org/spreadsheetml/2006/main">
  <c r="D9" i="3" l="1"/>
  <c r="C9" i="3"/>
  <c r="Q33" i="3"/>
  <c r="Q34" i="3"/>
  <c r="Q35" i="3"/>
  <c r="Q37" i="3"/>
  <c r="G18" i="4"/>
  <c r="C18" i="4"/>
  <c r="G27" i="4"/>
  <c r="C27" i="4"/>
  <c r="G17" i="4"/>
  <c r="C17" i="4"/>
  <c r="G26" i="4"/>
  <c r="C26" i="4"/>
  <c r="G25" i="4"/>
  <c r="C25" i="4"/>
  <c r="G24" i="4"/>
  <c r="C24" i="4"/>
  <c r="G16" i="4"/>
  <c r="C16" i="4"/>
  <c r="G15" i="4"/>
  <c r="C15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14" i="4"/>
  <c r="C14" i="4"/>
  <c r="G13" i="4"/>
  <c r="C13" i="4"/>
  <c r="G12" i="4"/>
  <c r="C12" i="4"/>
  <c r="G11" i="4"/>
  <c r="C11" i="4"/>
  <c r="H18" i="4"/>
  <c r="B18" i="4"/>
  <c r="D18" i="4"/>
  <c r="A18" i="4"/>
  <c r="H27" i="4"/>
  <c r="B27" i="4"/>
  <c r="D27" i="4"/>
  <c r="A27" i="4"/>
  <c r="H17" i="4"/>
  <c r="B17" i="4"/>
  <c r="D17" i="4"/>
  <c r="A17" i="4"/>
  <c r="H26" i="4"/>
  <c r="B26" i="4"/>
  <c r="D26" i="4"/>
  <c r="A26" i="4"/>
  <c r="H25" i="4"/>
  <c r="B25" i="4"/>
  <c r="D25" i="4"/>
  <c r="A25" i="4"/>
  <c r="H24" i="4"/>
  <c r="B24" i="4"/>
  <c r="D24" i="4"/>
  <c r="A24" i="4"/>
  <c r="H16" i="4"/>
  <c r="B16" i="4"/>
  <c r="D16" i="4"/>
  <c r="A16" i="4"/>
  <c r="H15" i="4"/>
  <c r="B15" i="4"/>
  <c r="D15" i="4"/>
  <c r="A15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Q32" i="3"/>
  <c r="C7" i="3"/>
  <c r="E27" i="3"/>
  <c r="F27" i="3"/>
  <c r="F16" i="3"/>
  <c r="C17" i="3"/>
  <c r="C21" i="3"/>
  <c r="E21" i="3"/>
  <c r="F21" i="3"/>
  <c r="G21" i="3"/>
  <c r="H21" i="3"/>
  <c r="Q21" i="3"/>
  <c r="Q22" i="3"/>
  <c r="Q23" i="3"/>
  <c r="Q24" i="3"/>
  <c r="Q25" i="3"/>
  <c r="Q31" i="3"/>
  <c r="Q36" i="3"/>
  <c r="Q26" i="3"/>
  <c r="Q27" i="3"/>
  <c r="Q28" i="3"/>
  <c r="Q29" i="3"/>
  <c r="Q30" i="3"/>
  <c r="Q38" i="3"/>
  <c r="E18" i="4"/>
  <c r="E24" i="4"/>
  <c r="E11" i="4"/>
  <c r="E26" i="4"/>
  <c r="E12" i="4"/>
  <c r="E24" i="3"/>
  <c r="F24" i="3"/>
  <c r="G24" i="3"/>
  <c r="I24" i="3"/>
  <c r="E38" i="3"/>
  <c r="F38" i="3"/>
  <c r="E37" i="3"/>
  <c r="F37" i="3"/>
  <c r="G37" i="3"/>
  <c r="J37" i="3"/>
  <c r="G33" i="3"/>
  <c r="J33" i="3"/>
  <c r="E31" i="3"/>
  <c r="F31" i="3"/>
  <c r="G31" i="3"/>
  <c r="I31" i="3"/>
  <c r="E23" i="3"/>
  <c r="F23" i="3"/>
  <c r="G23" i="3"/>
  <c r="I23" i="3"/>
  <c r="E33" i="3"/>
  <c r="F33" i="3"/>
  <c r="E30" i="3"/>
  <c r="F30" i="3"/>
  <c r="G30" i="3"/>
  <c r="I30" i="3"/>
  <c r="E28" i="3"/>
  <c r="F28" i="3"/>
  <c r="G28" i="3"/>
  <c r="I28" i="3"/>
  <c r="E36" i="3"/>
  <c r="F36" i="3"/>
  <c r="G36" i="3"/>
  <c r="I36" i="3"/>
  <c r="E35" i="3"/>
  <c r="F35" i="3"/>
  <c r="G35" i="3"/>
  <c r="J35" i="3"/>
  <c r="E25" i="3"/>
  <c r="F25" i="3"/>
  <c r="G25" i="3"/>
  <c r="I25" i="3"/>
  <c r="G27" i="3"/>
  <c r="I27" i="3"/>
  <c r="E22" i="3"/>
  <c r="F22" i="3"/>
  <c r="G22" i="3"/>
  <c r="G38" i="3"/>
  <c r="I38" i="3"/>
  <c r="E32" i="3"/>
  <c r="F32" i="3"/>
  <c r="G32" i="3"/>
  <c r="I32" i="3"/>
  <c r="E34" i="3"/>
  <c r="F34" i="3"/>
  <c r="G34" i="3"/>
  <c r="J34" i="3"/>
  <c r="E26" i="3"/>
  <c r="F26" i="3"/>
  <c r="G26" i="3"/>
  <c r="I26" i="3"/>
  <c r="E29" i="3"/>
  <c r="F29" i="3"/>
  <c r="G29" i="3"/>
  <c r="I29" i="3"/>
  <c r="I22" i="3"/>
  <c r="E27" i="4"/>
  <c r="E13" i="4"/>
  <c r="E25" i="4"/>
  <c r="E15" i="4"/>
  <c r="E14" i="4"/>
  <c r="E17" i="4"/>
  <c r="E16" i="4"/>
  <c r="C11" i="3"/>
  <c r="C12" i="3"/>
  <c r="O36" i="3" l="1"/>
  <c r="R36" i="3" s="1"/>
  <c r="C15" i="3"/>
  <c r="F18" i="3" s="1"/>
  <c r="O27" i="3"/>
  <c r="R27" i="3" s="1"/>
  <c r="O32" i="3"/>
  <c r="R32" i="3" s="1"/>
  <c r="O24" i="3"/>
  <c r="R24" i="3" s="1"/>
  <c r="O38" i="3"/>
  <c r="R38" i="3" s="1"/>
  <c r="O34" i="3"/>
  <c r="R34" i="3" s="1"/>
  <c r="O30" i="3"/>
  <c r="R30" i="3" s="1"/>
  <c r="O23" i="3"/>
  <c r="R23" i="3" s="1"/>
  <c r="O28" i="3"/>
  <c r="R28" i="3" s="1"/>
  <c r="O22" i="3"/>
  <c r="R22" i="3" s="1"/>
  <c r="O31" i="3"/>
  <c r="R31" i="3" s="1"/>
  <c r="O29" i="3"/>
  <c r="R29" i="3" s="1"/>
  <c r="O35" i="3"/>
  <c r="R35" i="3" s="1"/>
  <c r="O25" i="3"/>
  <c r="R25" i="3" s="1"/>
  <c r="O21" i="3"/>
  <c r="O37" i="3"/>
  <c r="R37" i="3" s="1"/>
  <c r="O33" i="3"/>
  <c r="R33" i="3" s="1"/>
  <c r="O26" i="3"/>
  <c r="R26" i="3" s="1"/>
  <c r="C16" i="3"/>
  <c r="D18" i="3" s="1"/>
  <c r="F17" i="3"/>
  <c r="R19" i="3" l="1"/>
  <c r="F19" i="3"/>
  <c r="C18" i="3"/>
</calcChain>
</file>

<file path=xl/sharedStrings.xml><?xml version="1.0" encoding="utf-8"?>
<sst xmlns="http://schemas.openxmlformats.org/spreadsheetml/2006/main" count="220" uniqueCount="140">
  <si>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</si>
  <si>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</si>
  <si>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</si>
  <si>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</si>
  <si>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</si>
  <si>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</si>
  <si>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</si>
  <si>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</si>
  <si>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</si>
  <si>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</si>
  <si>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</si>
  <si>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</si>
  <si>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</si>
  <si>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</si>
  <si>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</si>
  <si>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</si>
  <si>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</si>
  <si>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</si>
  <si>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</si>
  <si>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</si>
  <si>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</si>
  <si>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</si>
  <si>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</si>
  <si>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</si>
  <si>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</si>
  <si>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</si>
  <si>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</si>
  <si>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</si>
  <si>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</si>
  <si>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</si>
  <si>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</si>
  <si>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</si>
  <si>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</si>
  <si>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</si>
  <si>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</si>
  <si>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</si>
  <si>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</si>
  <si>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Sp:  F2 + F3</t>
  </si>
  <si>
    <t>IBVS 5224</t>
  </si>
  <si>
    <t>IBVS 5657</t>
  </si>
  <si>
    <t>IBVS 5745</t>
  </si>
  <si>
    <t>I</t>
  </si>
  <si>
    <t>IBVS 5920</t>
  </si>
  <si>
    <t>Add cycle</t>
  </si>
  <si>
    <t>Old Cycle</t>
  </si>
  <si>
    <t>IBVS 6011</t>
  </si>
  <si>
    <t>II</t>
  </si>
  <si>
    <t>OEJV 0094</t>
  </si>
  <si>
    <t>IBVS 6042</t>
  </si>
  <si>
    <t>VSX</t>
  </si>
  <si>
    <t>IBVS 5984</t>
  </si>
  <si>
    <t>DV Peg / GSC 1675-0256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</si>
  <si>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</si>
  <si>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</si>
  <si>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</si>
  <si>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</si>
  <si>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</si>
  <si>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</si>
  <si>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</si>
  <si>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</si>
  <si>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</si>
  <si>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</si>
  <si>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</si>
  <si>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2428748.762 </t>
  </si>
  <si>
    <t> 03.08.1937 06:17 </t>
  </si>
  <si>
    <t> 0.000 </t>
  </si>
  <si>
    <t>V </t>
  </si>
  <si>
    <t> B.W.Kukarkin </t>
  </si>
  <si>
    <t> PZ 5.196 </t>
  </si>
  <si>
    <t>2452112.8601 </t>
  </si>
  <si>
    <t> 22.07.2001 08:38 </t>
  </si>
  <si>
    <t> 0.0131 </t>
  </si>
  <si>
    <t>E </t>
  </si>
  <si>
    <t>?</t>
  </si>
  <si>
    <t> R.Nelson </t>
  </si>
  <si>
    <t>IBVS 5224 </t>
  </si>
  <si>
    <t>2453222.5258 </t>
  </si>
  <si>
    <t> 05.08.2004 00:37 </t>
  </si>
  <si>
    <t> 0.2124 </t>
  </si>
  <si>
    <t>o</t>
  </si>
  <si>
    <t> F.Agerer </t>
  </si>
  <si>
    <t>BAVM 173 </t>
  </si>
  <si>
    <t>2453604.6143 </t>
  </si>
  <si>
    <t> 22.08.2005 02:44 </t>
  </si>
  <si>
    <t> 0.0200 </t>
  </si>
  <si>
    <t> Smith &amp; Caton </t>
  </si>
  <si>
    <t>IBVS 5745 </t>
  </si>
  <si>
    <t>2454683.4515 </t>
  </si>
  <si>
    <t> 04.08.2008 22:50 </t>
  </si>
  <si>
    <t> 0.1436 </t>
  </si>
  <si>
    <t>C </t>
  </si>
  <si>
    <t> P.Marek </t>
  </si>
  <si>
    <t>OEJV 0094 </t>
  </si>
  <si>
    <t>2454683.4520 </t>
  </si>
  <si>
    <t> 0.1441 </t>
  </si>
  <si>
    <t>R</t>
  </si>
  <si>
    <t> L.Brát </t>
  </si>
  <si>
    <t>2454683.4527 </t>
  </si>
  <si>
    <t> 04.08.2008 22:51 </t>
  </si>
  <si>
    <t> 0.1448 </t>
  </si>
  <si>
    <t>2454683.4538 </t>
  </si>
  <si>
    <t> 04.08.2008 22:53 </t>
  </si>
  <si>
    <t> 0.1459 </t>
  </si>
  <si>
    <t>2454683.4561 </t>
  </si>
  <si>
    <t> 04.08.2008 22:56 </t>
  </si>
  <si>
    <t> 0.1482 </t>
  </si>
  <si>
    <t>B</t>
  </si>
  <si>
    <t>2455114.6664 </t>
  </si>
  <si>
    <t> 10.10.2009 03:59 </t>
  </si>
  <si>
    <t> -0.1270 </t>
  </si>
  <si>
    <t> R.Diethelm </t>
  </si>
  <si>
    <t>IBVS 5920 </t>
  </si>
  <si>
    <t>2455481.3446 </t>
  </si>
  <si>
    <t> 11.10.2010 20:16 </t>
  </si>
  <si>
    <t> 0.3564 </t>
  </si>
  <si>
    <t>BAVM 215 </t>
  </si>
  <si>
    <t>2455806.5998 </t>
  </si>
  <si>
    <t> 02.09.2011 02:23 </t>
  </si>
  <si>
    <t> 0.1050 </t>
  </si>
  <si>
    <t>BAVM 225 </t>
  </si>
  <si>
    <t>2455807.5674 </t>
  </si>
  <si>
    <t> 03.09.2011 01:37 </t>
  </si>
  <si>
    <t> 0.1264 </t>
  </si>
  <si>
    <t>2455855.4080 </t>
  </si>
  <si>
    <t> 20.10.2011 21:47 </t>
  </si>
  <si>
    <t> 0.1818 </t>
  </si>
  <si>
    <t> U.Schmidt </t>
  </si>
  <si>
    <t>2455855.7288 </t>
  </si>
  <si>
    <t> 21.10.2011 05:29 </t>
  </si>
  <si>
    <t> 0.0295 </t>
  </si>
  <si>
    <t>IBVS 6011 </t>
  </si>
  <si>
    <t>2455857.3354 </t>
  </si>
  <si>
    <t> 22.10.2011 20:02 </t>
  </si>
  <si>
    <t> 0.2168 </t>
  </si>
  <si>
    <t>2456215.6612 </t>
  </si>
  <si>
    <t> 15.10.2012 03:52 </t>
  </si>
  <si>
    <t> 0.3907 </t>
  </si>
  <si>
    <t>IBVS 6042 </t>
  </si>
  <si>
    <t>GCVS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</si>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</sst>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1" xfId="0" applyBorder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1" xfId="0" applyFont="1" applyBorder="1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" borderId="17" xfId="0" applyFont="1" applyFill="1" applyBorder="1" applyAlignment="1">
      <alignment horizontal="left" vertical="top" wrapText="1" indent="1"/>
    </xf>
    <xf numFmtId="0" fontId="4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right" vertical="top" wrapText="1"/>
    </xf>
    <xf numFmtId="0" fontId="17" fillId="2" borderId="17" xfId="7" applyFill="1" applyBorder="1" applyAlignment="1" applyProtection="1">
      <alignment horizontal="right" vertical="top" wrapText="1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Peg - O-C Diagr.</a:t>
            </a:r>
          </a:p>
        </c:rich>
      </c:tx>
      <c:layout>
        <c:manualLayout>
          <c:xMode val="edge"/>
          <c:yMode val="edge"/>
          <c:x val="0.3849624060150376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A-4009-B4FB-B47FC9BB0B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9.9756000003253575E-2</c:v>
                </c:pt>
                <c:pt idx="2">
                  <c:v>9.915200000978075E-2</c:v>
                </c:pt>
                <c:pt idx="3">
                  <c:v>9.7692000003007706E-2</c:v>
                </c:pt>
                <c:pt idx="4">
                  <c:v>9.7692000003007706E-2</c:v>
                </c:pt>
                <c:pt idx="5">
                  <c:v>9.2702000001736451E-2</c:v>
                </c:pt>
                <c:pt idx="6">
                  <c:v>9.3202000003657304E-2</c:v>
                </c:pt>
                <c:pt idx="7">
                  <c:v>9.3902000000525732E-2</c:v>
                </c:pt>
                <c:pt idx="8">
                  <c:v>9.5002000001841225E-2</c:v>
                </c:pt>
                <c:pt idx="9">
                  <c:v>9.7262000002956484E-2</c:v>
                </c:pt>
                <c:pt idx="10">
                  <c:v>9.1740000003483146E-2</c:v>
                </c:pt>
                <c:pt idx="11">
                  <c:v>9.2012000000977423E-2</c:v>
                </c:pt>
                <c:pt idx="15">
                  <c:v>9.2268000000331085E-2</c:v>
                </c:pt>
                <c:pt idx="17">
                  <c:v>8.9504000003216788E-2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A-4009-B4FB-B47FC9BB0B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2">
                  <c:v>8.9120000011462253E-2</c:v>
                </c:pt>
                <c:pt idx="13">
                  <c:v>9.3468000006396323E-2</c:v>
                </c:pt>
                <c:pt idx="14">
                  <c:v>9.2552000009163748E-2</c:v>
                </c:pt>
                <c:pt idx="16">
                  <c:v>9.3448000006901566E-2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A-4009-B4FB-B47FC9BB0B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A-4009-B4FB-B47FC9BB0B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A-4009-B4FB-B47FC9BB0B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A-4009-B4FB-B47FC9BB0B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A-4009-B4FB-B47FC9BB0B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0.15819636686863853</c:v>
                </c:pt>
                <c:pt idx="1">
                  <c:v>0.1007984637566802</c:v>
                </c:pt>
                <c:pt idx="2">
                  <c:v>9.8072367047297687E-2</c:v>
                </c:pt>
                <c:pt idx="3">
                  <c:v>9.7133693701185075E-2</c:v>
                </c:pt>
                <c:pt idx="4">
                  <c:v>9.7133693701185075E-2</c:v>
                </c:pt>
                <c:pt idx="5">
                  <c:v>9.448332190039653E-2</c:v>
                </c:pt>
                <c:pt idx="6">
                  <c:v>9.448332190039653E-2</c:v>
                </c:pt>
                <c:pt idx="7">
                  <c:v>9.448332190039653E-2</c:v>
                </c:pt>
                <c:pt idx="8">
                  <c:v>9.448332190039653E-2</c:v>
                </c:pt>
                <c:pt idx="9">
                  <c:v>9.448332190039653E-2</c:v>
                </c:pt>
                <c:pt idx="10">
                  <c:v>9.3423961981212292E-2</c:v>
                </c:pt>
                <c:pt idx="11">
                  <c:v>9.2523151089396655E-2</c:v>
                </c:pt>
                <c:pt idx="12">
                  <c:v>9.172409554350415E-2</c:v>
                </c:pt>
                <c:pt idx="13">
                  <c:v>9.1721729140110592E-2</c:v>
                </c:pt>
                <c:pt idx="14">
                  <c:v>9.1604197771563714E-2</c:v>
                </c:pt>
                <c:pt idx="15">
                  <c:v>9.1603408970432537E-2</c:v>
                </c:pt>
                <c:pt idx="16">
                  <c:v>9.1599464964776597E-2</c:v>
                </c:pt>
                <c:pt idx="17">
                  <c:v>9.0719162902371822E-2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A-4009-B4FB-B47FC9BB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183192"/>
        <c:axId val="1"/>
      </c:scatterChart>
      <c:valAx>
        <c:axId val="665183192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1"/>
          <c:min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183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53064690443099"/>
          <c:w val="0.6556390977443609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Peg - O-C Diagr.</a:t>
            </a:r>
          </a:p>
        </c:rich>
      </c:tx>
      <c:layout>
        <c:manualLayout>
          <c:xMode val="edge"/>
          <c:yMode val="edge"/>
          <c:x val="0.3843850149361960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76246334310852"/>
          <c:w val="0.825827036744317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A-409D-BE11-D492BEE6D7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9.9756000003253575E-2</c:v>
                </c:pt>
                <c:pt idx="2">
                  <c:v>9.915200000978075E-2</c:v>
                </c:pt>
                <c:pt idx="3">
                  <c:v>9.7692000003007706E-2</c:v>
                </c:pt>
                <c:pt idx="4">
                  <c:v>9.7692000003007706E-2</c:v>
                </c:pt>
                <c:pt idx="5">
                  <c:v>9.2702000001736451E-2</c:v>
                </c:pt>
                <c:pt idx="6">
                  <c:v>9.3202000003657304E-2</c:v>
                </c:pt>
                <c:pt idx="7">
                  <c:v>9.3902000000525732E-2</c:v>
                </c:pt>
                <c:pt idx="8">
                  <c:v>9.5002000001841225E-2</c:v>
                </c:pt>
                <c:pt idx="9">
                  <c:v>9.7262000002956484E-2</c:v>
                </c:pt>
                <c:pt idx="10">
                  <c:v>9.1740000003483146E-2</c:v>
                </c:pt>
                <c:pt idx="11">
                  <c:v>9.2012000000977423E-2</c:v>
                </c:pt>
                <c:pt idx="15">
                  <c:v>9.2268000000331085E-2</c:v>
                </c:pt>
                <c:pt idx="17">
                  <c:v>8.9504000003216788E-2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A-409D-BE11-D492BEE6D7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2">
                  <c:v>8.9120000011462253E-2</c:v>
                </c:pt>
                <c:pt idx="13">
                  <c:v>9.3468000006396323E-2</c:v>
                </c:pt>
                <c:pt idx="14">
                  <c:v>9.2552000009163748E-2</c:v>
                </c:pt>
                <c:pt idx="16">
                  <c:v>9.3448000006901566E-2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A-409D-BE11-D492BEE6D7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6A-409D-BE11-D492BEE6D7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6A-409D-BE11-D492BEE6D7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6A-409D-BE11-D492BEE6D7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8.0000000000000004E-4</c:v>
                  </c:pt>
                  <c:pt idx="8">
                    <c:v>4.0000000000000002E-4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4.4999999999999997E-3</c:v>
                  </c:pt>
                  <c:pt idx="15">
                    <c:v>4.0000000000000002E-4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6A-409D-BE11-D492BEE6D7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36383</c:v>
                </c:pt>
                <c:pt idx="2">
                  <c:v>38111</c:v>
                </c:pt>
                <c:pt idx="3">
                  <c:v>38706</c:v>
                </c:pt>
                <c:pt idx="4">
                  <c:v>38706</c:v>
                </c:pt>
                <c:pt idx="5">
                  <c:v>40386</c:v>
                </c:pt>
                <c:pt idx="6">
                  <c:v>40386</c:v>
                </c:pt>
                <c:pt idx="7">
                  <c:v>40386</c:v>
                </c:pt>
                <c:pt idx="8">
                  <c:v>40386</c:v>
                </c:pt>
                <c:pt idx="9">
                  <c:v>40386</c:v>
                </c:pt>
                <c:pt idx="10">
                  <c:v>41057.5</c:v>
                </c:pt>
                <c:pt idx="11">
                  <c:v>41628.5</c:v>
                </c:pt>
                <c:pt idx="12">
                  <c:v>42135</c:v>
                </c:pt>
                <c:pt idx="13">
                  <c:v>42136.5</c:v>
                </c:pt>
                <c:pt idx="14">
                  <c:v>42211</c:v>
                </c:pt>
                <c:pt idx="15">
                  <c:v>42211.5</c:v>
                </c:pt>
                <c:pt idx="16">
                  <c:v>42214</c:v>
                </c:pt>
                <c:pt idx="17">
                  <c:v>42772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0.15819636686863853</c:v>
                </c:pt>
                <c:pt idx="1">
                  <c:v>0.1007984637566802</c:v>
                </c:pt>
                <c:pt idx="2">
                  <c:v>9.8072367047297687E-2</c:v>
                </c:pt>
                <c:pt idx="3">
                  <c:v>9.7133693701185075E-2</c:v>
                </c:pt>
                <c:pt idx="4">
                  <c:v>9.7133693701185075E-2</c:v>
                </c:pt>
                <c:pt idx="5">
                  <c:v>9.448332190039653E-2</c:v>
                </c:pt>
                <c:pt idx="6">
                  <c:v>9.448332190039653E-2</c:v>
                </c:pt>
                <c:pt idx="7">
                  <c:v>9.448332190039653E-2</c:v>
                </c:pt>
                <c:pt idx="8">
                  <c:v>9.448332190039653E-2</c:v>
                </c:pt>
                <c:pt idx="9">
                  <c:v>9.448332190039653E-2</c:v>
                </c:pt>
                <c:pt idx="10">
                  <c:v>9.3423961981212292E-2</c:v>
                </c:pt>
                <c:pt idx="11">
                  <c:v>9.2523151089396655E-2</c:v>
                </c:pt>
                <c:pt idx="12">
                  <c:v>9.172409554350415E-2</c:v>
                </c:pt>
                <c:pt idx="13">
                  <c:v>9.1721729140110592E-2</c:v>
                </c:pt>
                <c:pt idx="14">
                  <c:v>9.1604197771563714E-2</c:v>
                </c:pt>
                <c:pt idx="15">
                  <c:v>9.1603408970432537E-2</c:v>
                </c:pt>
                <c:pt idx="16">
                  <c:v>9.1599464964776597E-2</c:v>
                </c:pt>
                <c:pt idx="17">
                  <c:v>9.0719162902371822E-2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6A-409D-BE11-D492BEE6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363032"/>
        <c:axId val="1"/>
      </c:scatterChart>
      <c:valAx>
        <c:axId val="66036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36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74205701764756"/>
          <c:y val="0.92375366568914952"/>
          <c:w val="0.654655600482372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323850</xdr:colOff>
      <xdr:row>18</xdr:row>
      <xdr:rowOff>95250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1F879E6C-AC81-19A6-7D51-BE93351B3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1</xdr:rowOff>
    </xdr:from>
    <xdr:to>
      <xdr:col>27</xdr:col>
      <xdr:colOff>200025</xdr:colOff>
      <xdr:row>18</xdr:row>
      <xdr:rowOff>95251</xdr:rowOff>
    </xdr:to>
    <xdr:graphicFrame macro="">
      <xdr:nvGraphicFramePr>
        <xdr:cNvPr id="54276" name="Chart 2">
          <a:extLst>
            <a:ext uri="{FF2B5EF4-FFF2-40B4-BE49-F238E27FC236}">
              <a16:creationId xmlns:a16="http://schemas.microsoft.com/office/drawing/2014/main" id="{1460486A-504B-D559-30AA-A9C69AC9C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94.pdf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745" TargetMode="External"/><Relationship Id="rId7" Type="http://schemas.openxmlformats.org/officeDocument/2006/relationships/hyperlink" Target="http://var.astro.cz/oejv/issues/oejv0094.pdf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konkoly.hu/cgi-bin/IBVS?5224" TargetMode="External"/><Relationship Id="rId6" Type="http://schemas.openxmlformats.org/officeDocument/2006/relationships/hyperlink" Target="http://var.astro.cz/oejv/issues/oejv0094.pdf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var.astro.cz/oejv/issues/oejv0094.pdf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var.astro.cz/oejv/issues/oejv0094.pdf" TargetMode="External"/><Relationship Id="rId9" Type="http://schemas.openxmlformats.org/officeDocument/2006/relationships/hyperlink" Target="http://www.konkoly.hu/cgi-bin/IBVS?5920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12" t="s">
        <v>51</v>
      </c>
      <c r="B1" s="5"/>
      <c r="C1" s="5"/>
      <c r="D1" s="5"/>
    </row>
    <row r="2" spans="1:6" s="6" customFormat="1" ht="12.95" customHeight="1" x14ac:dyDescent="0.2">
      <c r="A2" s="6" t="s">
        <v>24</v>
      </c>
      <c r="B2" s="26" t="s">
        <v>36</v>
      </c>
      <c r="C2" s="27"/>
    </row>
    <row r="3" spans="1:6" s="6" customFormat="1" ht="12.95" customHeight="1" thickBot="1" x14ac:dyDescent="0.25">
      <c r="A3" s="26" t="s">
        <v>37</v>
      </c>
      <c r="B3" s="26"/>
      <c r="C3" s="28"/>
    </row>
    <row r="4" spans="1:6" s="6" customFormat="1" ht="12.95" customHeight="1" thickBot="1" x14ac:dyDescent="0.25">
      <c r="A4" s="29" t="s">
        <v>0</v>
      </c>
      <c r="B4" s="30"/>
      <c r="C4" s="31">
        <v>28748.761999999999</v>
      </c>
      <c r="D4" s="32">
        <v>0.94962400000000002</v>
      </c>
    </row>
    <row r="5" spans="1:6" s="6" customFormat="1" ht="12.95" customHeight="1" x14ac:dyDescent="0.2">
      <c r="A5" s="33" t="s">
        <v>30</v>
      </c>
      <c r="C5" s="34">
        <v>-9.5</v>
      </c>
      <c r="D5" s="6" t="s">
        <v>31</v>
      </c>
    </row>
    <row r="6" spans="1:6" s="6" customFormat="1" ht="12.95" customHeight="1" x14ac:dyDescent="0.2">
      <c r="A6" s="29" t="s">
        <v>1</v>
      </c>
      <c r="B6" s="26"/>
      <c r="C6" s="26"/>
      <c r="D6" s="26"/>
      <c r="E6" s="26"/>
    </row>
    <row r="7" spans="1:6" s="6" customFormat="1" ht="12.95" customHeight="1" x14ac:dyDescent="0.2">
      <c r="A7" s="6" t="s">
        <v>2</v>
      </c>
      <c r="B7" s="26"/>
      <c r="C7" s="26">
        <f>C4</f>
        <v>28748.761999999999</v>
      </c>
      <c r="D7" s="35" t="s">
        <v>49</v>
      </c>
      <c r="E7" s="26"/>
    </row>
    <row r="8" spans="1:6" s="6" customFormat="1" ht="12.95" customHeight="1" x14ac:dyDescent="0.2">
      <c r="A8" s="6" t="s">
        <v>3</v>
      </c>
      <c r="B8" s="26"/>
      <c r="C8" s="26">
        <v>0.64216799999999996</v>
      </c>
      <c r="D8" s="27"/>
      <c r="E8" s="26"/>
    </row>
    <row r="9" spans="1:6" s="6" customFormat="1" ht="12.95" customHeight="1" x14ac:dyDescent="0.2">
      <c r="A9" s="36" t="s">
        <v>35</v>
      </c>
      <c r="B9" s="37">
        <v>22</v>
      </c>
      <c r="C9" s="38" t="str">
        <f>"F"&amp;B9</f>
        <v>F22</v>
      </c>
      <c r="D9" s="39" t="str">
        <f>"G"&amp;B9</f>
        <v>G22</v>
      </c>
    </row>
    <row r="10" spans="1:6" s="6" customFormat="1" ht="12.95" customHeight="1" thickBot="1" x14ac:dyDescent="0.25">
      <c r="C10" s="40" t="s">
        <v>20</v>
      </c>
      <c r="D10" s="40" t="s">
        <v>21</v>
      </c>
    </row>
    <row r="11" spans="1:6" s="6" customFormat="1" ht="12.95" customHeight="1" x14ac:dyDescent="0.2">
      <c r="A11" s="6" t="s">
        <v>16</v>
      </c>
      <c r="C11" s="39">
        <f ca="1">INTERCEPT(INDIRECT($D$9):G992,INDIRECT($C$9):F992)</f>
        <v>0.15819636686863853</v>
      </c>
      <c r="D11" s="41"/>
    </row>
    <row r="12" spans="1:6" s="6" customFormat="1" ht="12.95" customHeight="1" x14ac:dyDescent="0.2">
      <c r="A12" s="6" t="s">
        <v>17</v>
      </c>
      <c r="C12" s="39">
        <f ca="1">SLOPE(INDIRECT($D$9):G992,INDIRECT($C$9):F992)</f>
        <v>-1.5776022623741396E-6</v>
      </c>
      <c r="D12" s="41"/>
    </row>
    <row r="13" spans="1:6" s="6" customFormat="1" ht="12.95" customHeight="1" x14ac:dyDescent="0.2">
      <c r="A13" s="6" t="s">
        <v>19</v>
      </c>
      <c r="C13" s="41" t="s">
        <v>14</v>
      </c>
    </row>
    <row r="14" spans="1:6" s="6" customFormat="1" ht="12.95" customHeight="1" x14ac:dyDescent="0.2"/>
    <row r="15" spans="1:6" s="6" customFormat="1" ht="12.95" customHeight="1" x14ac:dyDescent="0.2">
      <c r="A15" s="42" t="s">
        <v>18</v>
      </c>
      <c r="C15" s="43">
        <f ca="1">(C7+C11)+(C8+C12)*INT(MAX(F21:F3533))</f>
        <v>56215.6624151629</v>
      </c>
      <c r="E15" s="44" t="s">
        <v>43</v>
      </c>
      <c r="F15" s="34">
        <v>1</v>
      </c>
    </row>
    <row r="16" spans="1:6" s="6" customFormat="1" ht="12.95" customHeight="1" x14ac:dyDescent="0.2">
      <c r="A16" s="29" t="s">
        <v>4</v>
      </c>
      <c r="C16" s="45">
        <f ca="1">+C8+C12</f>
        <v>0.64216642239773758</v>
      </c>
      <c r="E16" s="44" t="s">
        <v>32</v>
      </c>
      <c r="F16" s="46">
        <f ca="1">NOW()+15018.5+$C$5/24</f>
        <v>60371.721379861112</v>
      </c>
    </row>
    <row r="17" spans="1:18" s="6" customFormat="1" ht="12.95" customHeight="1" thickBot="1" x14ac:dyDescent="0.25">
      <c r="A17" s="44" t="s">
        <v>29</v>
      </c>
      <c r="C17" s="6">
        <f>COUNT(C21:C2191)</f>
        <v>18</v>
      </c>
      <c r="E17" s="44" t="s">
        <v>44</v>
      </c>
      <c r="F17" s="46">
        <f ca="1">ROUND(2*(F16-$C$7)/$C$8,0)/2+F15</f>
        <v>49245</v>
      </c>
    </row>
    <row r="18" spans="1:18" s="6" customFormat="1" ht="12.95" customHeight="1" thickTop="1" thickBot="1" x14ac:dyDescent="0.25">
      <c r="A18" s="29" t="s">
        <v>5</v>
      </c>
      <c r="C18" s="47">
        <f ca="1">+C15</f>
        <v>56215.6624151629</v>
      </c>
      <c r="D18" s="48">
        <f ca="1">+C16</f>
        <v>0.64216642239773758</v>
      </c>
      <c r="E18" s="44" t="s">
        <v>33</v>
      </c>
      <c r="F18" s="39">
        <f ca="1">ROUND(2*(F16-$C$15)/$C$16,0)/2+F15</f>
        <v>6473</v>
      </c>
    </row>
    <row r="19" spans="1:18" s="6" customFormat="1" ht="12.95" customHeight="1" thickTop="1" x14ac:dyDescent="0.2">
      <c r="E19" s="44" t="s">
        <v>34</v>
      </c>
      <c r="F19" s="49">
        <f ca="1">+$C$15+$C$16*F18-15018.5-$C$5/24</f>
        <v>45354.301500676789</v>
      </c>
      <c r="R19" s="6">
        <f ca="1">SUM(R22:R26)</f>
        <v>6.0488575708439462E-6</v>
      </c>
    </row>
    <row r="20" spans="1:18" s="6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50" t="s">
        <v>138</v>
      </c>
      <c r="I20" s="50" t="s">
        <v>54</v>
      </c>
      <c r="J20" s="50" t="s">
        <v>139</v>
      </c>
      <c r="K20" s="50" t="s">
        <v>25</v>
      </c>
      <c r="L20" s="50" t="s">
        <v>26</v>
      </c>
      <c r="M20" s="50" t="s">
        <v>27</v>
      </c>
      <c r="N20" s="50" t="s">
        <v>28</v>
      </c>
      <c r="O20" s="50" t="s">
        <v>23</v>
      </c>
      <c r="P20" s="51" t="s">
        <v>22</v>
      </c>
      <c r="Q20" s="40" t="s">
        <v>15</v>
      </c>
    </row>
    <row r="21" spans="1:18" s="6" customFormat="1" ht="12.95" customHeight="1" x14ac:dyDescent="0.2">
      <c r="A21" s="52" t="s">
        <v>12</v>
      </c>
      <c r="B21" s="52"/>
      <c r="C21" s="53">
        <f>C$4</f>
        <v>28748.761999999999</v>
      </c>
      <c r="D21" s="53"/>
      <c r="E21" s="6">
        <f t="shared" ref="E21:E38" si="0">+(C21-C$7)/C$8</f>
        <v>0</v>
      </c>
      <c r="F21" s="6">
        <f t="shared" ref="F21:F38" si="1">ROUND(2*E21,0)/2</f>
        <v>0</v>
      </c>
      <c r="G21" s="6">
        <f t="shared" ref="G21:G38" si="2">+C21-(C$7+F21*C$8)</f>
        <v>0</v>
      </c>
      <c r="H21" s="6">
        <f>+G21</f>
        <v>0</v>
      </c>
      <c r="O21" s="6">
        <f t="shared" ref="O21:O38" ca="1" si="3">+C$11+C$12*$F21</f>
        <v>0.15819636686863853</v>
      </c>
      <c r="Q21" s="54">
        <f t="shared" ref="Q21:Q38" si="4">+C21-15018.5</f>
        <v>13730.261999999999</v>
      </c>
    </row>
    <row r="22" spans="1:18" s="6" customFormat="1" ht="12.95" customHeight="1" x14ac:dyDescent="0.2">
      <c r="A22" s="55" t="s">
        <v>38</v>
      </c>
      <c r="B22" s="26"/>
      <c r="C22" s="56">
        <v>52112.860099999998</v>
      </c>
      <c r="D22" s="56">
        <v>4.0000000000000002E-4</v>
      </c>
      <c r="E22" s="6">
        <f t="shared" si="0"/>
        <v>36383.155342527192</v>
      </c>
      <c r="F22" s="6">
        <f t="shared" si="1"/>
        <v>36383</v>
      </c>
      <c r="G22" s="6">
        <f t="shared" si="2"/>
        <v>9.9756000003253575E-2</v>
      </c>
      <c r="I22" s="6">
        <f>+G22</f>
        <v>9.9756000003253575E-2</v>
      </c>
      <c r="O22" s="6">
        <f t="shared" ca="1" si="3"/>
        <v>0.1007984637566802</v>
      </c>
      <c r="Q22" s="54">
        <f t="shared" si="4"/>
        <v>37094.360099999998</v>
      </c>
      <c r="R22" s="6">
        <f t="shared" ref="R22:R38" ca="1" si="5">+(O22-G22)^2</f>
        <v>1.0867306772083171E-6</v>
      </c>
    </row>
    <row r="23" spans="1:18" s="6" customFormat="1" ht="12.95" customHeight="1" x14ac:dyDescent="0.2">
      <c r="A23" s="6" t="s">
        <v>39</v>
      </c>
      <c r="B23" s="57"/>
      <c r="C23" s="58">
        <v>53222.525800000003</v>
      </c>
      <c r="D23" s="58">
        <v>8.0000000000000004E-4</v>
      </c>
      <c r="E23" s="6">
        <f t="shared" si="0"/>
        <v>38111.154401963358</v>
      </c>
      <c r="F23" s="6">
        <f t="shared" si="1"/>
        <v>38111</v>
      </c>
      <c r="G23" s="6">
        <f t="shared" si="2"/>
        <v>9.915200000978075E-2</v>
      </c>
      <c r="I23" s="6">
        <f>+G23</f>
        <v>9.915200000978075E-2</v>
      </c>
      <c r="O23" s="6">
        <f t="shared" ca="1" si="3"/>
        <v>9.8072367047297687E-2</v>
      </c>
      <c r="Q23" s="54">
        <f t="shared" si="4"/>
        <v>38204.025800000003</v>
      </c>
      <c r="R23" s="6">
        <f t="shared" ca="1" si="5"/>
        <v>1.1656073336799539E-6</v>
      </c>
    </row>
    <row r="24" spans="1:18" s="6" customFormat="1" ht="12.95" customHeight="1" x14ac:dyDescent="0.2">
      <c r="A24" s="7" t="s">
        <v>40</v>
      </c>
      <c r="B24" s="8" t="s">
        <v>41</v>
      </c>
      <c r="C24" s="7">
        <v>53604.614300000001</v>
      </c>
      <c r="D24" s="7">
        <v>2.0000000000000001E-4</v>
      </c>
      <c r="E24" s="6">
        <f t="shared" si="0"/>
        <v>38706.152128415</v>
      </c>
      <c r="F24" s="6">
        <f t="shared" si="1"/>
        <v>38706</v>
      </c>
      <c r="G24" s="6">
        <f t="shared" si="2"/>
        <v>9.7692000003007706E-2</v>
      </c>
      <c r="I24" s="6">
        <f>+G24</f>
        <v>9.7692000003007706E-2</v>
      </c>
      <c r="O24" s="6">
        <f t="shared" ca="1" si="3"/>
        <v>9.7133693701185075E-2</v>
      </c>
      <c r="Q24" s="54">
        <f t="shared" si="4"/>
        <v>38586.114300000001</v>
      </c>
      <c r="R24" s="6">
        <f t="shared" ca="1" si="5"/>
        <v>3.1170592665486258E-7</v>
      </c>
    </row>
    <row r="25" spans="1:18" s="6" customFormat="1" ht="12.95" customHeight="1" x14ac:dyDescent="0.2">
      <c r="A25" s="7" t="s">
        <v>40</v>
      </c>
      <c r="B25" s="8" t="s">
        <v>41</v>
      </c>
      <c r="C25" s="7">
        <v>53604.614300000001</v>
      </c>
      <c r="D25" s="7">
        <v>2.0000000000000001E-4</v>
      </c>
      <c r="E25" s="6">
        <f t="shared" si="0"/>
        <v>38706.152128415</v>
      </c>
      <c r="F25" s="6">
        <f t="shared" si="1"/>
        <v>38706</v>
      </c>
      <c r="G25" s="6">
        <f t="shared" si="2"/>
        <v>9.7692000003007706E-2</v>
      </c>
      <c r="I25" s="6">
        <f>+G25</f>
        <v>9.7692000003007706E-2</v>
      </c>
      <c r="O25" s="6">
        <f t="shared" ca="1" si="3"/>
        <v>9.7133693701185075E-2</v>
      </c>
      <c r="Q25" s="54">
        <f t="shared" si="4"/>
        <v>38586.114300000001</v>
      </c>
      <c r="R25" s="6">
        <f t="shared" ca="1" si="5"/>
        <v>3.1170592665486258E-7</v>
      </c>
    </row>
    <row r="26" spans="1:18" s="6" customFormat="1" ht="12.95" customHeight="1" x14ac:dyDescent="0.2">
      <c r="A26" s="7" t="s">
        <v>47</v>
      </c>
      <c r="B26" s="8" t="s">
        <v>41</v>
      </c>
      <c r="C26" s="7">
        <v>54683.451549999998</v>
      </c>
      <c r="D26" s="7">
        <v>1.1000000000000001E-3</v>
      </c>
      <c r="E26" s="6">
        <f t="shared" si="0"/>
        <v>40386.144357862744</v>
      </c>
      <c r="F26" s="6">
        <f t="shared" si="1"/>
        <v>40386</v>
      </c>
      <c r="G26" s="6">
        <f t="shared" si="2"/>
        <v>9.2702000001736451E-2</v>
      </c>
      <c r="I26" s="59">
        <f>G26</f>
        <v>9.2702000001736451E-2</v>
      </c>
      <c r="O26" s="6">
        <f t="shared" ca="1" si="3"/>
        <v>9.448332190039653E-2</v>
      </c>
      <c r="Q26" s="54">
        <f t="shared" si="4"/>
        <v>39664.951549999998</v>
      </c>
      <c r="R26" s="6">
        <f t="shared" ca="1" si="5"/>
        <v>3.1731077066459498E-6</v>
      </c>
    </row>
    <row r="27" spans="1:18" s="6" customFormat="1" ht="12.95" customHeight="1" x14ac:dyDescent="0.2">
      <c r="A27" s="7" t="s">
        <v>47</v>
      </c>
      <c r="B27" s="8" t="s">
        <v>41</v>
      </c>
      <c r="C27" s="7">
        <v>54683.45205</v>
      </c>
      <c r="D27" s="7">
        <v>2.0000000000000001E-4</v>
      </c>
      <c r="E27" s="6">
        <f t="shared" si="0"/>
        <v>40386.145136475192</v>
      </c>
      <c r="F27" s="6">
        <f t="shared" si="1"/>
        <v>40386</v>
      </c>
      <c r="G27" s="6">
        <f t="shared" si="2"/>
        <v>9.3202000003657304E-2</v>
      </c>
      <c r="I27" s="59">
        <f>G27</f>
        <v>9.3202000003657304E-2</v>
      </c>
      <c r="O27" s="6">
        <f t="shared" ca="1" si="3"/>
        <v>9.448332190039653E-2</v>
      </c>
      <c r="Q27" s="54">
        <f t="shared" si="4"/>
        <v>39664.95205</v>
      </c>
      <c r="R27" s="6">
        <f t="shared" ca="1" si="5"/>
        <v>1.6417858030634091E-6</v>
      </c>
    </row>
    <row r="28" spans="1:18" s="6" customFormat="1" ht="12.95" customHeight="1" x14ac:dyDescent="0.2">
      <c r="A28" s="7" t="s">
        <v>47</v>
      </c>
      <c r="B28" s="8" t="s">
        <v>41</v>
      </c>
      <c r="C28" s="7">
        <v>54683.452749999997</v>
      </c>
      <c r="D28" s="7">
        <v>8.0000000000000004E-4</v>
      </c>
      <c r="E28" s="6">
        <f t="shared" si="0"/>
        <v>40386.146226532619</v>
      </c>
      <c r="F28" s="6">
        <f t="shared" si="1"/>
        <v>40386</v>
      </c>
      <c r="G28" s="6">
        <f t="shared" si="2"/>
        <v>9.3902000000525732E-2</v>
      </c>
      <c r="I28" s="59">
        <f>G28</f>
        <v>9.3902000000525732E-2</v>
      </c>
      <c r="O28" s="6">
        <f t="shared" ca="1" si="3"/>
        <v>9.448332190039653E-2</v>
      </c>
      <c r="Q28" s="54">
        <f t="shared" si="4"/>
        <v>39664.952749999997</v>
      </c>
      <c r="R28" s="6">
        <f t="shared" ca="1" si="5"/>
        <v>3.3793515126939481E-7</v>
      </c>
    </row>
    <row r="29" spans="1:18" s="6" customFormat="1" ht="12.95" customHeight="1" x14ac:dyDescent="0.2">
      <c r="A29" s="7" t="s">
        <v>47</v>
      </c>
      <c r="B29" s="8" t="s">
        <v>41</v>
      </c>
      <c r="C29" s="7">
        <v>54683.453849999998</v>
      </c>
      <c r="D29" s="7">
        <v>4.0000000000000002E-4</v>
      </c>
      <c r="E29" s="6">
        <f t="shared" si="0"/>
        <v>40386.147939480012</v>
      </c>
      <c r="F29" s="6">
        <f t="shared" si="1"/>
        <v>40386</v>
      </c>
      <c r="G29" s="6">
        <f t="shared" si="2"/>
        <v>9.5002000001841225E-2</v>
      </c>
      <c r="I29" s="59">
        <f>G29</f>
        <v>9.5002000001841225E-2</v>
      </c>
      <c r="O29" s="6">
        <f t="shared" ca="1" si="3"/>
        <v>9.448332190039653E-2</v>
      </c>
      <c r="Q29" s="54">
        <f t="shared" si="4"/>
        <v>39664.953849999998</v>
      </c>
      <c r="R29" s="6">
        <f t="shared" ca="1" si="5"/>
        <v>2.6902697291827281E-7</v>
      </c>
    </row>
    <row r="30" spans="1:18" s="6" customFormat="1" ht="12.95" customHeight="1" x14ac:dyDescent="0.2">
      <c r="A30" s="7" t="s">
        <v>47</v>
      </c>
      <c r="B30" s="8" t="s">
        <v>41</v>
      </c>
      <c r="C30" s="7">
        <v>54683.456109999999</v>
      </c>
      <c r="D30" s="7">
        <v>1.1999999999999999E-3</v>
      </c>
      <c r="E30" s="6">
        <f t="shared" si="0"/>
        <v>40386.151458808286</v>
      </c>
      <c r="F30" s="6">
        <f t="shared" si="1"/>
        <v>40386</v>
      </c>
      <c r="G30" s="6">
        <f t="shared" si="2"/>
        <v>9.7262000002956484E-2</v>
      </c>
      <c r="I30" s="59">
        <f>G30</f>
        <v>9.7262000002956484E-2</v>
      </c>
      <c r="O30" s="6">
        <f t="shared" ca="1" si="3"/>
        <v>9.448332190039653E-2</v>
      </c>
      <c r="Q30" s="54">
        <f t="shared" si="4"/>
        <v>39664.956109999999</v>
      </c>
      <c r="R30" s="6">
        <f t="shared" ca="1" si="5"/>
        <v>7.7210519976461819E-6</v>
      </c>
    </row>
    <row r="31" spans="1:18" s="6" customFormat="1" ht="12.95" customHeight="1" x14ac:dyDescent="0.2">
      <c r="A31" s="7" t="s">
        <v>42</v>
      </c>
      <c r="B31" s="8" t="s">
        <v>41</v>
      </c>
      <c r="C31" s="7">
        <v>55114.666400000002</v>
      </c>
      <c r="D31" s="7">
        <v>2.9999999999999997E-4</v>
      </c>
      <c r="E31" s="6">
        <f t="shared" si="0"/>
        <v>41057.642859812389</v>
      </c>
      <c r="F31" s="6">
        <f t="shared" si="1"/>
        <v>41057.5</v>
      </c>
      <c r="G31" s="6">
        <f t="shared" si="2"/>
        <v>9.1740000003483146E-2</v>
      </c>
      <c r="I31" s="6">
        <f>+G31</f>
        <v>9.1740000003483146E-2</v>
      </c>
      <c r="O31" s="6">
        <f t="shared" ca="1" si="3"/>
        <v>9.3423961981212292E-2</v>
      </c>
      <c r="Q31" s="54">
        <f t="shared" si="4"/>
        <v>40096.166400000002</v>
      </c>
      <c r="R31" s="6">
        <f t="shared" ca="1" si="5"/>
        <v>2.8357279424374546E-6</v>
      </c>
    </row>
    <row r="32" spans="1:18" s="6" customFormat="1" ht="12.95" customHeight="1" x14ac:dyDescent="0.2">
      <c r="A32" s="60" t="s">
        <v>50</v>
      </c>
      <c r="B32" s="60"/>
      <c r="C32" s="61">
        <v>55481.344599999997</v>
      </c>
      <c r="D32" s="61">
        <v>4.4999999999999997E-3</v>
      </c>
      <c r="E32" s="6">
        <f t="shared" si="0"/>
        <v>41628.643283377554</v>
      </c>
      <c r="F32" s="6">
        <f t="shared" si="1"/>
        <v>41628.5</v>
      </c>
      <c r="G32" s="6">
        <f t="shared" si="2"/>
        <v>9.2012000000977423E-2</v>
      </c>
      <c r="I32" s="6">
        <f>+G32</f>
        <v>9.2012000000977423E-2</v>
      </c>
      <c r="O32" s="6">
        <f t="shared" ca="1" si="3"/>
        <v>9.2523151089396655E-2</v>
      </c>
      <c r="Q32" s="54">
        <f t="shared" si="4"/>
        <v>40462.844599999997</v>
      </c>
      <c r="R32" s="6">
        <f t="shared" ca="1" si="5"/>
        <v>2.6127543519216513E-7</v>
      </c>
    </row>
    <row r="33" spans="1:18" s="6" customFormat="1" ht="12.95" customHeight="1" x14ac:dyDescent="0.2">
      <c r="A33" s="62" t="s">
        <v>119</v>
      </c>
      <c r="B33" s="63" t="s">
        <v>41</v>
      </c>
      <c r="C33" s="64">
        <v>55806.599800000004</v>
      </c>
      <c r="D33" s="7"/>
      <c r="E33" s="6">
        <f t="shared" si="0"/>
        <v>42135.138779883157</v>
      </c>
      <c r="F33" s="6">
        <f t="shared" si="1"/>
        <v>42135</v>
      </c>
      <c r="G33" s="6">
        <f t="shared" si="2"/>
        <v>8.9120000011462253E-2</v>
      </c>
      <c r="J33" s="6">
        <f>+G33</f>
        <v>8.9120000011462253E-2</v>
      </c>
      <c r="O33" s="6">
        <f t="shared" ca="1" si="3"/>
        <v>9.172409554350415E-2</v>
      </c>
      <c r="Q33" s="54">
        <f t="shared" si="4"/>
        <v>40788.099800000004</v>
      </c>
      <c r="R33" s="6">
        <f t="shared" ca="1" si="5"/>
        <v>6.7813135400005728E-6</v>
      </c>
    </row>
    <row r="34" spans="1:18" s="6" customFormat="1" ht="12.95" customHeight="1" x14ac:dyDescent="0.2">
      <c r="A34" s="62" t="s">
        <v>119</v>
      </c>
      <c r="B34" s="63" t="s">
        <v>41</v>
      </c>
      <c r="C34" s="64">
        <v>55807.5674</v>
      </c>
      <c r="D34" s="58"/>
      <c r="E34" s="6">
        <f t="shared" si="0"/>
        <v>42136.645550697016</v>
      </c>
      <c r="F34" s="6">
        <f t="shared" si="1"/>
        <v>42136.5</v>
      </c>
      <c r="G34" s="6">
        <f t="shared" si="2"/>
        <v>9.3468000006396323E-2</v>
      </c>
      <c r="J34" s="6">
        <f>+G34</f>
        <v>9.3468000006396323E-2</v>
      </c>
      <c r="O34" s="6">
        <f t="shared" ca="1" si="3"/>
        <v>9.1721729140110592E-2</v>
      </c>
      <c r="Q34" s="54">
        <f t="shared" si="4"/>
        <v>40789.0674</v>
      </c>
      <c r="R34" s="6">
        <f t="shared" ca="1" si="5"/>
        <v>3.04946193843832E-6</v>
      </c>
    </row>
    <row r="35" spans="1:18" s="6" customFormat="1" ht="12.95" customHeight="1" x14ac:dyDescent="0.2">
      <c r="A35" s="62" t="s">
        <v>119</v>
      </c>
      <c r="B35" s="63" t="s">
        <v>46</v>
      </c>
      <c r="C35" s="64">
        <v>55855.408000000003</v>
      </c>
      <c r="D35" s="58"/>
      <c r="E35" s="6">
        <f t="shared" si="0"/>
        <v>42211.144124279017</v>
      </c>
      <c r="F35" s="6">
        <f t="shared" si="1"/>
        <v>42211</v>
      </c>
      <c r="G35" s="6">
        <f t="shared" si="2"/>
        <v>9.2552000009163748E-2</v>
      </c>
      <c r="J35" s="6">
        <f>+G35</f>
        <v>9.2552000009163748E-2</v>
      </c>
      <c r="O35" s="6">
        <f t="shared" ca="1" si="3"/>
        <v>9.1604197771563714E-2</v>
      </c>
      <c r="Q35" s="54">
        <f t="shared" si="4"/>
        <v>40836.908000000003</v>
      </c>
      <c r="R35" s="6">
        <f t="shared" ca="1" si="5"/>
        <v>8.9832908159963217E-7</v>
      </c>
    </row>
    <row r="36" spans="1:18" s="6" customFormat="1" ht="12.95" customHeight="1" x14ac:dyDescent="0.2">
      <c r="A36" s="7" t="s">
        <v>45</v>
      </c>
      <c r="B36" s="8" t="s">
        <v>46</v>
      </c>
      <c r="C36" s="7">
        <v>55855.728799999997</v>
      </c>
      <c r="D36" s="7">
        <v>4.0000000000000002E-4</v>
      </c>
      <c r="E36" s="6">
        <f t="shared" si="0"/>
        <v>42211.643682027134</v>
      </c>
      <c r="F36" s="6">
        <f t="shared" si="1"/>
        <v>42211.5</v>
      </c>
      <c r="G36" s="6">
        <f t="shared" si="2"/>
        <v>9.2268000000331085E-2</v>
      </c>
      <c r="I36" s="6">
        <f>+G36</f>
        <v>9.2268000000331085E-2</v>
      </c>
      <c r="O36" s="6">
        <f t="shared" ca="1" si="3"/>
        <v>9.1603408970432537E-2</v>
      </c>
      <c r="Q36" s="54">
        <f t="shared" si="4"/>
        <v>40837.228799999997</v>
      </c>
      <c r="R36" s="6">
        <f t="shared" ca="1" si="5"/>
        <v>4.4168123702161274E-7</v>
      </c>
    </row>
    <row r="37" spans="1:18" s="6" customFormat="1" ht="12.95" customHeight="1" x14ac:dyDescent="0.2">
      <c r="A37" s="62" t="s">
        <v>119</v>
      </c>
      <c r="B37" s="63" t="s">
        <v>46</v>
      </c>
      <c r="C37" s="64">
        <v>55857.335400000004</v>
      </c>
      <c r="D37" s="58"/>
      <c r="E37" s="6">
        <f t="shared" si="0"/>
        <v>42214.145519552527</v>
      </c>
      <c r="F37" s="6">
        <f t="shared" si="1"/>
        <v>42214</v>
      </c>
      <c r="G37" s="6">
        <f t="shared" si="2"/>
        <v>9.3448000006901566E-2</v>
      </c>
      <c r="J37" s="6">
        <f>+G37</f>
        <v>9.3448000006901566E-2</v>
      </c>
      <c r="O37" s="6">
        <f t="shared" ca="1" si="3"/>
        <v>9.1599464964776597E-2</v>
      </c>
      <c r="Q37" s="54">
        <f t="shared" si="4"/>
        <v>40838.835400000004</v>
      </c>
      <c r="R37" s="6">
        <f t="shared" ca="1" si="5"/>
        <v>3.4170818019639593E-6</v>
      </c>
    </row>
    <row r="38" spans="1:18" x14ac:dyDescent="0.2">
      <c r="A38" s="9" t="s">
        <v>48</v>
      </c>
      <c r="B38" s="10" t="s">
        <v>41</v>
      </c>
      <c r="C38" s="11">
        <v>56215.661200000002</v>
      </c>
      <c r="D38" s="11">
        <v>4.0000000000000002E-4</v>
      </c>
      <c r="E38">
        <f t="shared" si="0"/>
        <v>42772.139377857515</v>
      </c>
      <c r="F38">
        <f t="shared" si="1"/>
        <v>42772</v>
      </c>
      <c r="G38">
        <f t="shared" si="2"/>
        <v>8.9504000003216788E-2</v>
      </c>
      <c r="I38">
        <f>+G38</f>
        <v>8.9504000003216788E-2</v>
      </c>
      <c r="O38">
        <f t="shared" ca="1" si="3"/>
        <v>9.0719162902371822E-2</v>
      </c>
      <c r="Q38" s="1">
        <f t="shared" si="4"/>
        <v>41197.161200000002</v>
      </c>
      <c r="R38">
        <f t="shared" ca="1" si="5"/>
        <v>1.4766208714828672E-6</v>
      </c>
    </row>
    <row r="39" spans="1:18" x14ac:dyDescent="0.2">
      <c r="C39" s="2"/>
      <c r="D39" s="2"/>
    </row>
    <row r="40" spans="1:18" x14ac:dyDescent="0.2">
      <c r="C40" s="2"/>
      <c r="D40" s="2"/>
    </row>
    <row r="41" spans="1:18" x14ac:dyDescent="0.2">
      <c r="C41" s="2"/>
      <c r="D41" s="2"/>
    </row>
    <row r="42" spans="1:18" x14ac:dyDescent="0.2">
      <c r="C42" s="2"/>
      <c r="D42" s="2"/>
    </row>
    <row r="43" spans="1:18" x14ac:dyDescent="0.2">
      <c r="C43" s="2"/>
      <c r="D43" s="2"/>
    </row>
    <row r="44" spans="1:18" x14ac:dyDescent="0.2"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4"/>
  <sheetViews>
    <sheetView topLeftCell="A4" workbookViewId="0">
      <selection activeCell="A24" sqref="A24:C27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3" t="s">
        <v>52</v>
      </c>
      <c r="I1" s="14" t="s">
        <v>53</v>
      </c>
      <c r="J1" s="15" t="s">
        <v>54</v>
      </c>
    </row>
    <row r="2" spans="1:16" x14ac:dyDescent="0.2">
      <c r="I2" s="16" t="s">
        <v>55</v>
      </c>
      <c r="J2" s="17" t="s">
        <v>56</v>
      </c>
    </row>
    <row r="3" spans="1:16" x14ac:dyDescent="0.2">
      <c r="A3" s="18" t="s">
        <v>57</v>
      </c>
      <c r="I3" s="16" t="s">
        <v>58</v>
      </c>
      <c r="J3" s="17" t="s">
        <v>59</v>
      </c>
    </row>
    <row r="4" spans="1:16" x14ac:dyDescent="0.2">
      <c r="I4" s="16" t="s">
        <v>60</v>
      </c>
      <c r="J4" s="17" t="s">
        <v>59</v>
      </c>
    </row>
    <row r="5" spans="1:16" ht="13.5" thickBot="1" x14ac:dyDescent="0.25">
      <c r="I5" s="19" t="s">
        <v>61</v>
      </c>
      <c r="J5" s="20" t="s">
        <v>62</v>
      </c>
    </row>
    <row r="10" spans="1:16" ht="13.5" thickBot="1" x14ac:dyDescent="0.25"/>
    <row r="11" spans="1:16" ht="12.75" customHeight="1" thickBot="1" x14ac:dyDescent="0.25">
      <c r="A11" s="2" t="str">
        <f t="shared" ref="A11:A27" si="0">P11</f>
        <v> PZ 5.196 </v>
      </c>
      <c r="B11" s="4" t="str">
        <f t="shared" ref="B11:B27" si="1">IF(H11=INT(H11),"I","II")</f>
        <v>I</v>
      </c>
      <c r="C11" s="2">
        <f t="shared" ref="C11:C27" si="2">1*G11</f>
        <v>28748.761999999999</v>
      </c>
      <c r="D11" s="3" t="str">
        <f t="shared" ref="D11:D27" si="3">VLOOKUP(F11,I$1:J$5,2,FALSE)</f>
        <v>vis</v>
      </c>
      <c r="E11" s="21">
        <f>VLOOKUP(C11,Active!C$21:E$973,3,FALSE)</f>
        <v>0</v>
      </c>
      <c r="F11" s="4" t="s">
        <v>61</v>
      </c>
      <c r="G11" s="3" t="str">
        <f t="shared" ref="G11:G27" si="4">MID(I11,3,LEN(I11)-3)</f>
        <v>28748.762</v>
      </c>
      <c r="H11" s="2">
        <f t="shared" ref="H11:H27" si="5">1*K11</f>
        <v>0</v>
      </c>
      <c r="I11" s="22" t="s">
        <v>63</v>
      </c>
      <c r="J11" s="23" t="s">
        <v>64</v>
      </c>
      <c r="K11" s="22">
        <v>0</v>
      </c>
      <c r="L11" s="22" t="s">
        <v>65</v>
      </c>
      <c r="M11" s="23" t="s">
        <v>66</v>
      </c>
      <c r="N11" s="23"/>
      <c r="O11" s="24" t="s">
        <v>67</v>
      </c>
      <c r="P11" s="24" t="s">
        <v>68</v>
      </c>
    </row>
    <row r="12" spans="1:16" ht="12.75" customHeight="1" thickBot="1" x14ac:dyDescent="0.25">
      <c r="A12" s="2" t="str">
        <f t="shared" si="0"/>
        <v>IBVS 5224 </v>
      </c>
      <c r="B12" s="4" t="str">
        <f t="shared" si="1"/>
        <v>II</v>
      </c>
      <c r="C12" s="2">
        <f t="shared" si="2"/>
        <v>52112.860099999998</v>
      </c>
      <c r="D12" s="3" t="str">
        <f t="shared" si="3"/>
        <v>vis</v>
      </c>
      <c r="E12" s="21">
        <f>VLOOKUP(C12,Active!C$21:E$973,3,FALSE)</f>
        <v>36383.155342527192</v>
      </c>
      <c r="F12" s="4" t="s">
        <v>61</v>
      </c>
      <c r="G12" s="3" t="str">
        <f t="shared" si="4"/>
        <v>52112.8601</v>
      </c>
      <c r="H12" s="2">
        <f t="shared" si="5"/>
        <v>24691.5</v>
      </c>
      <c r="I12" s="22" t="s">
        <v>69</v>
      </c>
      <c r="J12" s="23" t="s">
        <v>70</v>
      </c>
      <c r="K12" s="22">
        <v>24691.5</v>
      </c>
      <c r="L12" s="22" t="s">
        <v>71</v>
      </c>
      <c r="M12" s="23" t="s">
        <v>72</v>
      </c>
      <c r="N12" s="23" t="s">
        <v>73</v>
      </c>
      <c r="O12" s="24" t="s">
        <v>74</v>
      </c>
      <c r="P12" s="25" t="s">
        <v>75</v>
      </c>
    </row>
    <row r="13" spans="1:16" ht="12.75" customHeight="1" thickBot="1" x14ac:dyDescent="0.25">
      <c r="A13" s="2" t="str">
        <f t="shared" si="0"/>
        <v>BAVM 173 </v>
      </c>
      <c r="B13" s="4" t="str">
        <f t="shared" si="1"/>
        <v>I</v>
      </c>
      <c r="C13" s="2">
        <f t="shared" si="2"/>
        <v>53222.525800000003</v>
      </c>
      <c r="D13" s="3" t="str">
        <f t="shared" si="3"/>
        <v>vis</v>
      </c>
      <c r="E13" s="21">
        <f>VLOOKUP(C13,Active!C$21:E$973,3,FALSE)</f>
        <v>38111.154401963358</v>
      </c>
      <c r="F13" s="4" t="s">
        <v>61</v>
      </c>
      <c r="G13" s="3" t="str">
        <f t="shared" si="4"/>
        <v>53222.5258</v>
      </c>
      <c r="H13" s="2">
        <f t="shared" si="5"/>
        <v>25864</v>
      </c>
      <c r="I13" s="22" t="s">
        <v>76</v>
      </c>
      <c r="J13" s="23" t="s">
        <v>77</v>
      </c>
      <c r="K13" s="22">
        <v>25864</v>
      </c>
      <c r="L13" s="22" t="s">
        <v>78</v>
      </c>
      <c r="M13" s="23" t="s">
        <v>72</v>
      </c>
      <c r="N13" s="23" t="s">
        <v>79</v>
      </c>
      <c r="O13" s="24" t="s">
        <v>80</v>
      </c>
      <c r="P13" s="25" t="s">
        <v>81</v>
      </c>
    </row>
    <row r="14" spans="1:16" ht="12.75" customHeight="1" thickBot="1" x14ac:dyDescent="0.25">
      <c r="A14" s="2" t="str">
        <f t="shared" si="0"/>
        <v>IBVS 5745 </v>
      </c>
      <c r="B14" s="4" t="str">
        <f t="shared" si="1"/>
        <v>I</v>
      </c>
      <c r="C14" s="2">
        <f t="shared" si="2"/>
        <v>53604.614300000001</v>
      </c>
      <c r="D14" s="3" t="str">
        <f t="shared" si="3"/>
        <v>vis</v>
      </c>
      <c r="E14" s="21">
        <f>VLOOKUP(C14,Active!C$21:E$973,3,FALSE)</f>
        <v>38706.152128415</v>
      </c>
      <c r="F14" s="4" t="s">
        <v>61</v>
      </c>
      <c r="G14" s="3" t="str">
        <f t="shared" si="4"/>
        <v>53604.6143</v>
      </c>
      <c r="H14" s="2">
        <f t="shared" si="5"/>
        <v>26268</v>
      </c>
      <c r="I14" s="22" t="s">
        <v>82</v>
      </c>
      <c r="J14" s="23" t="s">
        <v>83</v>
      </c>
      <c r="K14" s="22">
        <v>26268</v>
      </c>
      <c r="L14" s="22" t="s">
        <v>84</v>
      </c>
      <c r="M14" s="23" t="s">
        <v>72</v>
      </c>
      <c r="N14" s="23" t="s">
        <v>73</v>
      </c>
      <c r="O14" s="24" t="s">
        <v>85</v>
      </c>
      <c r="P14" s="25" t="s">
        <v>86</v>
      </c>
    </row>
    <row r="15" spans="1:16" ht="12.75" customHeight="1" thickBot="1" x14ac:dyDescent="0.25">
      <c r="A15" s="2" t="str">
        <f t="shared" si="0"/>
        <v>IBVS 5920 </v>
      </c>
      <c r="B15" s="4" t="str">
        <f t="shared" si="1"/>
        <v>I</v>
      </c>
      <c r="C15" s="2">
        <f t="shared" si="2"/>
        <v>55114.666400000002</v>
      </c>
      <c r="D15" s="3" t="str">
        <f t="shared" si="3"/>
        <v>vis</v>
      </c>
      <c r="E15" s="21">
        <f>VLOOKUP(C15,Active!C$21:E$973,3,FALSE)</f>
        <v>41057.642859812389</v>
      </c>
      <c r="F15" s="4" t="s">
        <v>61</v>
      </c>
      <c r="G15" s="3" t="str">
        <f t="shared" si="4"/>
        <v>55114.6664</v>
      </c>
      <c r="H15" s="2">
        <f t="shared" si="5"/>
        <v>27864</v>
      </c>
      <c r="I15" s="22" t="s">
        <v>107</v>
      </c>
      <c r="J15" s="23" t="s">
        <v>108</v>
      </c>
      <c r="K15" s="22">
        <v>27864</v>
      </c>
      <c r="L15" s="22" t="s">
        <v>109</v>
      </c>
      <c r="M15" s="23" t="s">
        <v>90</v>
      </c>
      <c r="N15" s="23" t="s">
        <v>61</v>
      </c>
      <c r="O15" s="24" t="s">
        <v>110</v>
      </c>
      <c r="P15" s="25" t="s">
        <v>111</v>
      </c>
    </row>
    <row r="16" spans="1:16" ht="12.75" customHeight="1" thickBot="1" x14ac:dyDescent="0.25">
      <c r="A16" s="2" t="str">
        <f t="shared" si="0"/>
        <v>BAVM 215 </v>
      </c>
      <c r="B16" s="4" t="str">
        <f t="shared" si="1"/>
        <v>I</v>
      </c>
      <c r="C16" s="2">
        <f t="shared" si="2"/>
        <v>55481.344599999997</v>
      </c>
      <c r="D16" s="3" t="str">
        <f t="shared" si="3"/>
        <v>vis</v>
      </c>
      <c r="E16" s="21">
        <f>VLOOKUP(C16,Active!C$21:E$973,3,FALSE)</f>
        <v>41628.643283377554</v>
      </c>
      <c r="F16" s="4" t="s">
        <v>61</v>
      </c>
      <c r="G16" s="3" t="str">
        <f t="shared" si="4"/>
        <v>55481.3446</v>
      </c>
      <c r="H16" s="2">
        <f t="shared" si="5"/>
        <v>28251</v>
      </c>
      <c r="I16" s="22" t="s">
        <v>112</v>
      </c>
      <c r="J16" s="23" t="s">
        <v>113</v>
      </c>
      <c r="K16" s="22">
        <v>28251</v>
      </c>
      <c r="L16" s="22" t="s">
        <v>114</v>
      </c>
      <c r="M16" s="23" t="s">
        <v>90</v>
      </c>
      <c r="N16" s="23">
        <v>0</v>
      </c>
      <c r="O16" s="24" t="s">
        <v>80</v>
      </c>
      <c r="P16" s="25" t="s">
        <v>115</v>
      </c>
    </row>
    <row r="17" spans="1:16" ht="12.75" customHeight="1" thickBot="1" x14ac:dyDescent="0.25">
      <c r="A17" s="2" t="str">
        <f t="shared" si="0"/>
        <v>IBVS 6011 </v>
      </c>
      <c r="B17" s="4" t="str">
        <f t="shared" si="1"/>
        <v>I</v>
      </c>
      <c r="C17" s="2">
        <f t="shared" si="2"/>
        <v>55855.728799999997</v>
      </c>
      <c r="D17" s="3" t="str">
        <f t="shared" si="3"/>
        <v>vis</v>
      </c>
      <c r="E17" s="21">
        <f>VLOOKUP(C17,Active!C$21:E$973,3,FALSE)</f>
        <v>42211.643682027134</v>
      </c>
      <c r="F17" s="4" t="s">
        <v>61</v>
      </c>
      <c r="G17" s="3" t="str">
        <f t="shared" si="4"/>
        <v>55855.7288</v>
      </c>
      <c r="H17" s="2">
        <f t="shared" si="5"/>
        <v>28647</v>
      </c>
      <c r="I17" s="22" t="s">
        <v>127</v>
      </c>
      <c r="J17" s="23" t="s">
        <v>128</v>
      </c>
      <c r="K17" s="22">
        <v>28647</v>
      </c>
      <c r="L17" s="22" t="s">
        <v>129</v>
      </c>
      <c r="M17" s="23" t="s">
        <v>90</v>
      </c>
      <c r="N17" s="23" t="s">
        <v>61</v>
      </c>
      <c r="O17" s="24" t="s">
        <v>110</v>
      </c>
      <c r="P17" s="25" t="s">
        <v>130</v>
      </c>
    </row>
    <row r="18" spans="1:16" ht="12.75" customHeight="1" thickBot="1" x14ac:dyDescent="0.25">
      <c r="A18" s="2" t="str">
        <f t="shared" si="0"/>
        <v>IBVS 6042 </v>
      </c>
      <c r="B18" s="4" t="str">
        <f t="shared" si="1"/>
        <v>I</v>
      </c>
      <c r="C18" s="2">
        <f t="shared" si="2"/>
        <v>56215.661200000002</v>
      </c>
      <c r="D18" s="3" t="str">
        <f t="shared" si="3"/>
        <v>vis</v>
      </c>
      <c r="E18" s="21">
        <f>VLOOKUP(C18,Active!C$21:E$973,3,FALSE)</f>
        <v>42772.139377857515</v>
      </c>
      <c r="F18" s="4" t="s">
        <v>61</v>
      </c>
      <c r="G18" s="3" t="str">
        <f t="shared" si="4"/>
        <v>56215.6612</v>
      </c>
      <c r="H18" s="2">
        <f t="shared" si="5"/>
        <v>29027</v>
      </c>
      <c r="I18" s="22" t="s">
        <v>134</v>
      </c>
      <c r="J18" s="23" t="s">
        <v>135</v>
      </c>
      <c r="K18" s="22">
        <v>29027</v>
      </c>
      <c r="L18" s="22" t="s">
        <v>136</v>
      </c>
      <c r="M18" s="23" t="s">
        <v>90</v>
      </c>
      <c r="N18" s="23" t="s">
        <v>61</v>
      </c>
      <c r="O18" s="24" t="s">
        <v>110</v>
      </c>
      <c r="P18" s="25" t="s">
        <v>137</v>
      </c>
    </row>
    <row r="19" spans="1:16" ht="12.75" customHeight="1" thickBot="1" x14ac:dyDescent="0.25">
      <c r="A19" s="2" t="str">
        <f t="shared" si="0"/>
        <v>OEJV 0094 </v>
      </c>
      <c r="B19" s="4" t="str">
        <f t="shared" si="1"/>
        <v>I</v>
      </c>
      <c r="C19" s="2">
        <f t="shared" si="2"/>
        <v>54683.451500000003</v>
      </c>
      <c r="D19" s="3" t="str">
        <f t="shared" si="3"/>
        <v>vis</v>
      </c>
      <c r="E19" s="21" t="e">
        <f>VLOOKUP(C19,Active!C$21:E$973,3,FALSE)</f>
        <v>#N/A</v>
      </c>
      <c r="F19" s="4" t="s">
        <v>61</v>
      </c>
      <c r="G19" s="3" t="str">
        <f t="shared" si="4"/>
        <v>54683.4515</v>
      </c>
      <c r="H19" s="2">
        <f t="shared" si="5"/>
        <v>27408</v>
      </c>
      <c r="I19" s="22" t="s">
        <v>87</v>
      </c>
      <c r="J19" s="23" t="s">
        <v>88</v>
      </c>
      <c r="K19" s="22">
        <v>27408</v>
      </c>
      <c r="L19" s="22" t="s">
        <v>89</v>
      </c>
      <c r="M19" s="23" t="s">
        <v>90</v>
      </c>
      <c r="N19" s="23" t="s">
        <v>61</v>
      </c>
      <c r="O19" s="24" t="s">
        <v>91</v>
      </c>
      <c r="P19" s="25" t="s">
        <v>92</v>
      </c>
    </row>
    <row r="20" spans="1:16" ht="12.75" customHeight="1" thickBot="1" x14ac:dyDescent="0.25">
      <c r="A20" s="2" t="str">
        <f t="shared" si="0"/>
        <v>OEJV 0094 </v>
      </c>
      <c r="B20" s="4" t="str">
        <f t="shared" si="1"/>
        <v>I</v>
      </c>
      <c r="C20" s="2">
        <f t="shared" si="2"/>
        <v>54683.451999999997</v>
      </c>
      <c r="D20" s="3" t="str">
        <f t="shared" si="3"/>
        <v>vis</v>
      </c>
      <c r="E20" s="21" t="e">
        <f>VLOOKUP(C20,Active!C$21:E$973,3,FALSE)</f>
        <v>#N/A</v>
      </c>
      <c r="F20" s="4" t="s">
        <v>61</v>
      </c>
      <c r="G20" s="3" t="str">
        <f t="shared" si="4"/>
        <v>54683.4520</v>
      </c>
      <c r="H20" s="2">
        <f t="shared" si="5"/>
        <v>27408</v>
      </c>
      <c r="I20" s="22" t="s">
        <v>93</v>
      </c>
      <c r="J20" s="23" t="s">
        <v>88</v>
      </c>
      <c r="K20" s="22">
        <v>27408</v>
      </c>
      <c r="L20" s="22" t="s">
        <v>94</v>
      </c>
      <c r="M20" s="23" t="s">
        <v>90</v>
      </c>
      <c r="N20" s="23" t="s">
        <v>95</v>
      </c>
      <c r="O20" s="24" t="s">
        <v>96</v>
      </c>
      <c r="P20" s="25" t="s">
        <v>92</v>
      </c>
    </row>
    <row r="21" spans="1:16" ht="12.75" customHeight="1" thickBot="1" x14ac:dyDescent="0.25">
      <c r="A21" s="2" t="str">
        <f t="shared" si="0"/>
        <v>OEJV 0094 </v>
      </c>
      <c r="B21" s="4" t="str">
        <f t="shared" si="1"/>
        <v>I</v>
      </c>
      <c r="C21" s="2">
        <f t="shared" si="2"/>
        <v>54683.452700000002</v>
      </c>
      <c r="D21" s="3" t="str">
        <f t="shared" si="3"/>
        <v>vis</v>
      </c>
      <c r="E21" s="21" t="e">
        <f>VLOOKUP(C21,Active!C$21:E$973,3,FALSE)</f>
        <v>#N/A</v>
      </c>
      <c r="F21" s="4" t="s">
        <v>61</v>
      </c>
      <c r="G21" s="3" t="str">
        <f t="shared" si="4"/>
        <v>54683.4527</v>
      </c>
      <c r="H21" s="2">
        <f t="shared" si="5"/>
        <v>27408</v>
      </c>
      <c r="I21" s="22" t="s">
        <v>97</v>
      </c>
      <c r="J21" s="23" t="s">
        <v>98</v>
      </c>
      <c r="K21" s="22">
        <v>27408</v>
      </c>
      <c r="L21" s="22" t="s">
        <v>99</v>
      </c>
      <c r="M21" s="23" t="s">
        <v>90</v>
      </c>
      <c r="N21" s="23" t="s">
        <v>41</v>
      </c>
      <c r="O21" s="24" t="s">
        <v>91</v>
      </c>
      <c r="P21" s="25" t="s">
        <v>92</v>
      </c>
    </row>
    <row r="22" spans="1:16" ht="12.75" customHeight="1" thickBot="1" x14ac:dyDescent="0.25">
      <c r="A22" s="2" t="str">
        <f t="shared" si="0"/>
        <v>OEJV 0094 </v>
      </c>
      <c r="B22" s="4" t="str">
        <f t="shared" si="1"/>
        <v>I</v>
      </c>
      <c r="C22" s="2">
        <f t="shared" si="2"/>
        <v>54683.453800000003</v>
      </c>
      <c r="D22" s="3" t="str">
        <f t="shared" si="3"/>
        <v>vis</v>
      </c>
      <c r="E22" s="21" t="e">
        <f>VLOOKUP(C22,Active!C$21:E$973,3,FALSE)</f>
        <v>#N/A</v>
      </c>
      <c r="F22" s="4" t="s">
        <v>61</v>
      </c>
      <c r="G22" s="3" t="str">
        <f t="shared" si="4"/>
        <v>54683.4538</v>
      </c>
      <c r="H22" s="2">
        <f t="shared" si="5"/>
        <v>27408</v>
      </c>
      <c r="I22" s="22" t="s">
        <v>100</v>
      </c>
      <c r="J22" s="23" t="s">
        <v>101</v>
      </c>
      <c r="K22" s="22">
        <v>27408</v>
      </c>
      <c r="L22" s="22" t="s">
        <v>102</v>
      </c>
      <c r="M22" s="23" t="s">
        <v>90</v>
      </c>
      <c r="N22" s="23" t="s">
        <v>95</v>
      </c>
      <c r="O22" s="24" t="s">
        <v>91</v>
      </c>
      <c r="P22" s="25" t="s">
        <v>92</v>
      </c>
    </row>
    <row r="23" spans="1:16" ht="12.75" customHeight="1" thickBot="1" x14ac:dyDescent="0.25">
      <c r="A23" s="2" t="str">
        <f t="shared" si="0"/>
        <v>OEJV 0094 </v>
      </c>
      <c r="B23" s="4" t="str">
        <f t="shared" si="1"/>
        <v>I</v>
      </c>
      <c r="C23" s="2">
        <f t="shared" si="2"/>
        <v>54683.456100000003</v>
      </c>
      <c r="D23" s="3" t="str">
        <f t="shared" si="3"/>
        <v>vis</v>
      </c>
      <c r="E23" s="21" t="e">
        <f>VLOOKUP(C23,Active!C$21:E$973,3,FALSE)</f>
        <v>#N/A</v>
      </c>
      <c r="F23" s="4" t="s">
        <v>61</v>
      </c>
      <c r="G23" s="3" t="str">
        <f t="shared" si="4"/>
        <v>54683.4561</v>
      </c>
      <c r="H23" s="2">
        <f t="shared" si="5"/>
        <v>27408</v>
      </c>
      <c r="I23" s="22" t="s">
        <v>103</v>
      </c>
      <c r="J23" s="23" t="s">
        <v>104</v>
      </c>
      <c r="K23" s="22">
        <v>27408</v>
      </c>
      <c r="L23" s="22" t="s">
        <v>105</v>
      </c>
      <c r="M23" s="23" t="s">
        <v>90</v>
      </c>
      <c r="N23" s="23" t="s">
        <v>106</v>
      </c>
      <c r="O23" s="24" t="s">
        <v>91</v>
      </c>
      <c r="P23" s="25" t="s">
        <v>92</v>
      </c>
    </row>
    <row r="24" spans="1:16" ht="12.75" customHeight="1" thickBot="1" x14ac:dyDescent="0.25">
      <c r="A24" s="2" t="str">
        <f t="shared" si="0"/>
        <v>BAVM 225 </v>
      </c>
      <c r="B24" s="4" t="str">
        <f t="shared" si="1"/>
        <v>I</v>
      </c>
      <c r="C24" s="2">
        <f t="shared" si="2"/>
        <v>55806.599800000004</v>
      </c>
      <c r="D24" s="3" t="str">
        <f t="shared" si="3"/>
        <v>vis</v>
      </c>
      <c r="E24" s="21">
        <f>VLOOKUP(C24,Active!C$21:E$973,3,FALSE)</f>
        <v>42135.138779883157</v>
      </c>
      <c r="F24" s="4" t="s">
        <v>61</v>
      </c>
      <c r="G24" s="3" t="str">
        <f t="shared" si="4"/>
        <v>55806.5998</v>
      </c>
      <c r="H24" s="2">
        <f t="shared" si="5"/>
        <v>28595</v>
      </c>
      <c r="I24" s="22" t="s">
        <v>116</v>
      </c>
      <c r="J24" s="23" t="s">
        <v>117</v>
      </c>
      <c r="K24" s="22">
        <v>28595</v>
      </c>
      <c r="L24" s="22" t="s">
        <v>118</v>
      </c>
      <c r="M24" s="23" t="s">
        <v>90</v>
      </c>
      <c r="N24" s="23">
        <v>0</v>
      </c>
      <c r="O24" s="24" t="s">
        <v>80</v>
      </c>
      <c r="P24" s="25" t="s">
        <v>119</v>
      </c>
    </row>
    <row r="25" spans="1:16" ht="12.75" customHeight="1" thickBot="1" x14ac:dyDescent="0.25">
      <c r="A25" s="2" t="str">
        <f t="shared" si="0"/>
        <v>BAVM 225 </v>
      </c>
      <c r="B25" s="4" t="str">
        <f t="shared" si="1"/>
        <v>I</v>
      </c>
      <c r="C25" s="2">
        <f t="shared" si="2"/>
        <v>55807.5674</v>
      </c>
      <c r="D25" s="3" t="str">
        <f t="shared" si="3"/>
        <v>vis</v>
      </c>
      <c r="E25" s="21">
        <f>VLOOKUP(C25,Active!C$21:E$973,3,FALSE)</f>
        <v>42136.645550697016</v>
      </c>
      <c r="F25" s="4" t="s">
        <v>61</v>
      </c>
      <c r="G25" s="3" t="str">
        <f t="shared" si="4"/>
        <v>55807.5674</v>
      </c>
      <c r="H25" s="2">
        <f t="shared" si="5"/>
        <v>28596</v>
      </c>
      <c r="I25" s="22" t="s">
        <v>120</v>
      </c>
      <c r="J25" s="23" t="s">
        <v>121</v>
      </c>
      <c r="K25" s="22">
        <v>28596</v>
      </c>
      <c r="L25" s="22" t="s">
        <v>122</v>
      </c>
      <c r="M25" s="23" t="s">
        <v>90</v>
      </c>
      <c r="N25" s="23">
        <v>0</v>
      </c>
      <c r="O25" s="24" t="s">
        <v>80</v>
      </c>
      <c r="P25" s="25" t="s">
        <v>119</v>
      </c>
    </row>
    <row r="26" spans="1:16" ht="12.75" customHeight="1" thickBot="1" x14ac:dyDescent="0.25">
      <c r="A26" s="2" t="str">
        <f t="shared" si="0"/>
        <v>BAVM 225 </v>
      </c>
      <c r="B26" s="4" t="str">
        <f t="shared" si="1"/>
        <v>II</v>
      </c>
      <c r="C26" s="2">
        <f t="shared" si="2"/>
        <v>55855.408000000003</v>
      </c>
      <c r="D26" s="3" t="str">
        <f t="shared" si="3"/>
        <v>vis</v>
      </c>
      <c r="E26" s="21">
        <f>VLOOKUP(C26,Active!C$21:E$973,3,FALSE)</f>
        <v>42211.144124279017</v>
      </c>
      <c r="F26" s="4" t="s">
        <v>61</v>
      </c>
      <c r="G26" s="3" t="str">
        <f t="shared" si="4"/>
        <v>55855.4080</v>
      </c>
      <c r="H26" s="2">
        <f t="shared" si="5"/>
        <v>28646.5</v>
      </c>
      <c r="I26" s="22" t="s">
        <v>123</v>
      </c>
      <c r="J26" s="23" t="s">
        <v>124</v>
      </c>
      <c r="K26" s="22">
        <v>28646.5</v>
      </c>
      <c r="L26" s="22" t="s">
        <v>125</v>
      </c>
      <c r="M26" s="23" t="s">
        <v>90</v>
      </c>
      <c r="N26" s="23" t="s">
        <v>79</v>
      </c>
      <c r="O26" s="24" t="s">
        <v>126</v>
      </c>
      <c r="P26" s="25" t="s">
        <v>119</v>
      </c>
    </row>
    <row r="27" spans="1:16" ht="12.75" customHeight="1" thickBot="1" x14ac:dyDescent="0.25">
      <c r="A27" s="2" t="str">
        <f t="shared" si="0"/>
        <v>BAVM 225 </v>
      </c>
      <c r="B27" s="4" t="str">
        <f t="shared" si="1"/>
        <v>II</v>
      </c>
      <c r="C27" s="2">
        <f t="shared" si="2"/>
        <v>55857.335400000004</v>
      </c>
      <c r="D27" s="3" t="str">
        <f t="shared" si="3"/>
        <v>vis</v>
      </c>
      <c r="E27" s="21">
        <f>VLOOKUP(C27,Active!C$21:E$973,3,FALSE)</f>
        <v>42214.145519552527</v>
      </c>
      <c r="F27" s="4" t="s">
        <v>61</v>
      </c>
      <c r="G27" s="3" t="str">
        <f t="shared" si="4"/>
        <v>55857.3354</v>
      </c>
      <c r="H27" s="2">
        <f t="shared" si="5"/>
        <v>28648.5</v>
      </c>
      <c r="I27" s="22" t="s">
        <v>131</v>
      </c>
      <c r="J27" s="23" t="s">
        <v>132</v>
      </c>
      <c r="K27" s="22">
        <v>28648.5</v>
      </c>
      <c r="L27" s="22" t="s">
        <v>133</v>
      </c>
      <c r="M27" s="23" t="s">
        <v>90</v>
      </c>
      <c r="N27" s="23" t="s">
        <v>79</v>
      </c>
      <c r="O27" s="24" t="s">
        <v>126</v>
      </c>
      <c r="P27" s="25" t="s">
        <v>119</v>
      </c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</sheetData>
  <phoneticPr fontId="6" type="noConversion"/>
  <hyperlinks>
    <hyperlink ref="P12" r:id="rId1" display="http://www.konkoly.hu/cgi-bin/IBVS?5224" xr:uid="{00000000-0004-0000-0100-000000000000}"/>
    <hyperlink ref="P13" r:id="rId2" display="http://www.bav-astro.de/sfs/BAVM_link.php?BAVMnr=173" xr:uid="{00000000-0004-0000-0100-000001000000}"/>
    <hyperlink ref="P14" r:id="rId3" display="http://www.konkoly.hu/cgi-bin/IBVS?5745" xr:uid="{00000000-0004-0000-0100-000002000000}"/>
    <hyperlink ref="P19" r:id="rId4" display="http://var.astro.cz/oejv/issues/oejv0094.pdf" xr:uid="{00000000-0004-0000-0100-000003000000}"/>
    <hyperlink ref="P20" r:id="rId5" display="http://var.astro.cz/oejv/issues/oejv0094.pdf" xr:uid="{00000000-0004-0000-0100-000004000000}"/>
    <hyperlink ref="P21" r:id="rId6" display="http://var.astro.cz/oejv/issues/oejv0094.pdf" xr:uid="{00000000-0004-0000-0100-000005000000}"/>
    <hyperlink ref="P22" r:id="rId7" display="http://var.astro.cz/oejv/issues/oejv0094.pdf" xr:uid="{00000000-0004-0000-0100-000006000000}"/>
    <hyperlink ref="P23" r:id="rId8" display="http://var.astro.cz/oejv/issues/oejv0094.pdf" xr:uid="{00000000-0004-0000-0100-000007000000}"/>
    <hyperlink ref="P15" r:id="rId9" display="http://www.konkoly.hu/cgi-bin/IBVS?5920" xr:uid="{00000000-0004-0000-0100-000008000000}"/>
    <hyperlink ref="P16" r:id="rId10" display="http://www.bav-astro.de/sfs/BAVM_link.php?BAVMnr=215" xr:uid="{00000000-0004-0000-0100-000009000000}"/>
    <hyperlink ref="P24" r:id="rId11" display="http://www.bav-astro.de/sfs/BAVM_link.php?BAVMnr=225" xr:uid="{00000000-0004-0000-0100-00000A000000}"/>
    <hyperlink ref="P25" r:id="rId12" display="http://www.bav-astro.de/sfs/BAVM_link.php?BAVMnr=225" xr:uid="{00000000-0004-0000-0100-00000B000000}"/>
    <hyperlink ref="P26" r:id="rId13" display="http://www.bav-astro.de/sfs/BAVM_link.php?BAVMnr=225" xr:uid="{00000000-0004-0000-0100-00000C000000}"/>
    <hyperlink ref="P17" r:id="rId14" display="http://www.konkoly.hu/cgi-bin/IBVS?6011" xr:uid="{00000000-0004-0000-0100-00000D000000}"/>
    <hyperlink ref="P27" r:id="rId15" display="http://www.bav-astro.de/sfs/BAVM_link.php?BAVMnr=225" xr:uid="{00000000-0004-0000-0100-00000E000000}"/>
    <hyperlink ref="P18" r:id="rId16" display="http://www.konkoly.hu/cgi-bin/IBVS?6042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2024-03-02T04:18:47Z</dcterms:modified>
</cp:coreProperties>
</file>