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4D4029-74EC-427F-8741-5C3E82F774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U33" i="1"/>
  <c r="Q33" i="1"/>
  <c r="E34" i="1"/>
  <c r="F34" i="1"/>
  <c r="U34" i="1"/>
  <c r="Q34" i="1"/>
  <c r="E35" i="1"/>
  <c r="F35" i="1"/>
  <c r="U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U40" i="1"/>
  <c r="Q40" i="1"/>
  <c r="E41" i="1"/>
  <c r="F41" i="1"/>
  <c r="G41" i="1"/>
  <c r="K41" i="1"/>
  <c r="Q41" i="1"/>
  <c r="E42" i="1"/>
  <c r="F42" i="1"/>
  <c r="U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J65" i="1"/>
  <c r="Q65" i="1"/>
  <c r="E66" i="1"/>
  <c r="F66" i="1"/>
  <c r="G66" i="1"/>
  <c r="H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Q76" i="1"/>
  <c r="E77" i="1"/>
  <c r="F77" i="1"/>
  <c r="G77" i="1"/>
  <c r="I77" i="1"/>
  <c r="Q77" i="1"/>
  <c r="E78" i="1"/>
  <c r="F78" i="1"/>
  <c r="G78" i="1"/>
  <c r="I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J82" i="1"/>
  <c r="Q82" i="1"/>
  <c r="E83" i="1"/>
  <c r="F83" i="1"/>
  <c r="G83" i="1"/>
  <c r="I83" i="1"/>
  <c r="Q83" i="1"/>
  <c r="E84" i="1"/>
  <c r="F84" i="1"/>
  <c r="G84" i="1"/>
  <c r="J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K92" i="1"/>
  <c r="Q92" i="1"/>
  <c r="E93" i="1"/>
  <c r="F93" i="1"/>
  <c r="G93" i="1"/>
  <c r="K93" i="1"/>
  <c r="Q93" i="1"/>
  <c r="E94" i="1"/>
  <c r="F94" i="1"/>
  <c r="G94" i="1"/>
  <c r="K94" i="1"/>
  <c r="Q94" i="1"/>
  <c r="E95" i="1"/>
  <c r="F95" i="1"/>
  <c r="G95" i="1"/>
  <c r="K95" i="1"/>
  <c r="Q95" i="1"/>
  <c r="E96" i="1"/>
  <c r="F96" i="1"/>
  <c r="G96" i="1"/>
  <c r="K96" i="1"/>
  <c r="Q96" i="1"/>
  <c r="E97" i="1"/>
  <c r="F97" i="1"/>
  <c r="G97" i="1"/>
  <c r="K97" i="1"/>
  <c r="Q97" i="1"/>
  <c r="E98" i="1"/>
  <c r="F98" i="1"/>
  <c r="G98" i="1"/>
  <c r="K98" i="1"/>
  <c r="Q98" i="1"/>
  <c r="E99" i="1"/>
  <c r="F99" i="1"/>
  <c r="G99" i="1"/>
  <c r="K99" i="1"/>
  <c r="Q99" i="1"/>
  <c r="E100" i="1"/>
  <c r="F100" i="1"/>
  <c r="G100" i="1"/>
  <c r="K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K106" i="1"/>
  <c r="Q106" i="1"/>
  <c r="E107" i="1"/>
  <c r="F107" i="1"/>
  <c r="G107" i="1"/>
  <c r="I107" i="1"/>
  <c r="Q107" i="1"/>
  <c r="E108" i="1"/>
  <c r="F108" i="1"/>
  <c r="G108" i="1"/>
  <c r="K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K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K119" i="1"/>
  <c r="Q119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D13" i="2"/>
  <c r="G13" i="2"/>
  <c r="C13" i="2"/>
  <c r="E13" i="2"/>
  <c r="H13" i="2"/>
  <c r="B13" i="2"/>
  <c r="A14" i="2"/>
  <c r="D14" i="2"/>
  <c r="E14" i="2"/>
  <c r="G14" i="2"/>
  <c r="C14" i="2"/>
  <c r="H14" i="2"/>
  <c r="B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B17" i="2"/>
  <c r="D17" i="2"/>
  <c r="G17" i="2"/>
  <c r="C17" i="2"/>
  <c r="E17" i="2"/>
  <c r="H17" i="2"/>
  <c r="A18" i="2"/>
  <c r="B18" i="2"/>
  <c r="C18" i="2"/>
  <c r="D18" i="2"/>
  <c r="G18" i="2"/>
  <c r="H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C26" i="2"/>
  <c r="D26" i="2"/>
  <c r="E26" i="2"/>
  <c r="G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B29" i="2"/>
  <c r="D29" i="2"/>
  <c r="G29" i="2"/>
  <c r="C29" i="2"/>
  <c r="E29" i="2"/>
  <c r="H29" i="2"/>
  <c r="A30" i="2"/>
  <c r="D30" i="2"/>
  <c r="E30" i="2"/>
  <c r="G30" i="2"/>
  <c r="C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D38" i="2"/>
  <c r="E38" i="2"/>
  <c r="G38" i="2"/>
  <c r="C38" i="2"/>
  <c r="H38" i="2"/>
  <c r="B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F41" i="2"/>
  <c r="G41" i="2"/>
  <c r="C41" i="2"/>
  <c r="E41" i="2"/>
  <c r="H41" i="2"/>
  <c r="B41" i="2"/>
  <c r="A42" i="2"/>
  <c r="D42" i="2"/>
  <c r="F42" i="2"/>
  <c r="G42" i="2"/>
  <c r="C42" i="2"/>
  <c r="E42" i="2"/>
  <c r="H42" i="2"/>
  <c r="B42" i="2"/>
  <c r="A43" i="2"/>
  <c r="D43" i="2"/>
  <c r="F43" i="2"/>
  <c r="G43" i="2"/>
  <c r="C43" i="2"/>
  <c r="E43" i="2"/>
  <c r="H43" i="2"/>
  <c r="B43" i="2"/>
  <c r="A44" i="2"/>
  <c r="B44" i="2"/>
  <c r="D44" i="2"/>
  <c r="G44" i="2"/>
  <c r="C44" i="2"/>
  <c r="E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E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E83" i="2"/>
  <c r="D83" i="2"/>
  <c r="G83" i="2"/>
  <c r="H83" i="2"/>
  <c r="B83" i="2"/>
  <c r="A84" i="2"/>
  <c r="E84" i="2"/>
  <c r="F84" i="2"/>
  <c r="D84" i="2"/>
  <c r="G84" i="2"/>
  <c r="C84" i="2"/>
  <c r="H84" i="2"/>
  <c r="B84" i="2"/>
  <c r="A85" i="2"/>
  <c r="B85" i="2"/>
  <c r="F85" i="2"/>
  <c r="D85" i="2"/>
  <c r="G85" i="2"/>
  <c r="C85" i="2"/>
  <c r="E85" i="2"/>
  <c r="H85" i="2"/>
  <c r="A86" i="2"/>
  <c r="B86" i="2"/>
  <c r="D86" i="2"/>
  <c r="G86" i="2"/>
  <c r="C86" i="2"/>
  <c r="E86" i="2"/>
  <c r="H86" i="2"/>
  <c r="A87" i="2"/>
  <c r="C87" i="2"/>
  <c r="D87" i="2"/>
  <c r="E87" i="2"/>
  <c r="G87" i="2"/>
  <c r="H87" i="2"/>
  <c r="B87" i="2"/>
  <c r="A88" i="2"/>
  <c r="D88" i="2"/>
  <c r="G88" i="2"/>
  <c r="C88" i="2"/>
  <c r="E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E91" i="2"/>
  <c r="D91" i="2"/>
  <c r="G91" i="2"/>
  <c r="H91" i="2"/>
  <c r="B91" i="2"/>
  <c r="A92" i="2"/>
  <c r="D92" i="2"/>
  <c r="G92" i="2"/>
  <c r="C92" i="2"/>
  <c r="E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E97" i="2"/>
  <c r="G97" i="2"/>
  <c r="H97" i="2"/>
  <c r="A98" i="2"/>
  <c r="B98" i="2"/>
  <c r="C98" i="2"/>
  <c r="E98" i="2"/>
  <c r="D98" i="2"/>
  <c r="G98" i="2"/>
  <c r="H98" i="2"/>
  <c r="A99" i="2"/>
  <c r="C99" i="2"/>
  <c r="E99" i="2"/>
  <c r="D99" i="2"/>
  <c r="G99" i="2"/>
  <c r="H99" i="2"/>
  <c r="B99" i="2"/>
  <c r="A100" i="2"/>
  <c r="C100" i="2"/>
  <c r="D100" i="2"/>
  <c r="E100" i="2"/>
  <c r="G100" i="2"/>
  <c r="H100" i="2"/>
  <c r="B100" i="2"/>
  <c r="A101" i="2"/>
  <c r="C101" i="2"/>
  <c r="E101" i="2"/>
  <c r="D101" i="2"/>
  <c r="G101" i="2"/>
  <c r="H101" i="2"/>
  <c r="B101" i="2"/>
  <c r="I76" i="1"/>
  <c r="H76" i="1"/>
  <c r="E18" i="2"/>
  <c r="F55" i="1"/>
  <c r="G55" i="1"/>
  <c r="I55" i="1"/>
  <c r="C11" i="1"/>
  <c r="C12" i="1"/>
  <c r="C16" i="1" l="1"/>
  <c r="D18" i="1" s="1"/>
  <c r="O40" i="1"/>
  <c r="O72" i="1"/>
  <c r="O88" i="1"/>
  <c r="O36" i="1"/>
  <c r="O71" i="1"/>
  <c r="O83" i="1"/>
  <c r="O115" i="1"/>
  <c r="O66" i="1"/>
  <c r="O86" i="1"/>
  <c r="O118" i="1"/>
  <c r="O89" i="1"/>
  <c r="O45" i="1"/>
  <c r="O38" i="1"/>
  <c r="O48" i="1"/>
  <c r="O96" i="1"/>
  <c r="O91" i="1"/>
  <c r="O74" i="1"/>
  <c r="O27" i="1"/>
  <c r="O49" i="1"/>
  <c r="O41" i="1"/>
  <c r="C15" i="1"/>
  <c r="O60" i="1"/>
  <c r="O59" i="1"/>
  <c r="O103" i="1"/>
  <c r="O106" i="1"/>
  <c r="O109" i="1"/>
  <c r="O116" i="1"/>
  <c r="O82" i="1"/>
  <c r="O69" i="1"/>
  <c r="O44" i="1"/>
  <c r="O22" i="1"/>
  <c r="O92" i="1"/>
  <c r="O43" i="1"/>
  <c r="O75" i="1"/>
  <c r="O87" i="1"/>
  <c r="O119" i="1"/>
  <c r="O70" i="1"/>
  <c r="O90" i="1"/>
  <c r="O23" i="1"/>
  <c r="O93" i="1"/>
  <c r="O61" i="1"/>
  <c r="O57" i="1"/>
  <c r="O26" i="1"/>
  <c r="O47" i="1"/>
  <c r="O21" i="1"/>
  <c r="O39" i="1"/>
  <c r="O94" i="1"/>
  <c r="O97" i="1"/>
  <c r="O73" i="1"/>
  <c r="O28" i="1"/>
  <c r="O76" i="1"/>
  <c r="O54" i="1"/>
  <c r="O68" i="1"/>
  <c r="O62" i="1"/>
  <c r="O52" i="1"/>
  <c r="O30" i="1"/>
  <c r="O100" i="1"/>
  <c r="O51" i="1"/>
  <c r="O25" i="1"/>
  <c r="O95" i="1"/>
  <c r="O46" i="1"/>
  <c r="O24" i="1"/>
  <c r="O98" i="1"/>
  <c r="O31" i="1"/>
  <c r="O101" i="1"/>
  <c r="O65" i="1"/>
  <c r="O56" i="1"/>
  <c r="O33" i="1"/>
  <c r="O104" i="1"/>
  <c r="O29" i="1"/>
  <c r="O99" i="1"/>
  <c r="O102" i="1"/>
  <c r="O35" i="1"/>
  <c r="O32" i="1"/>
  <c r="O34" i="1"/>
  <c r="O79" i="1"/>
  <c r="O117" i="1"/>
  <c r="O55" i="1"/>
  <c r="O50" i="1"/>
  <c r="O105" i="1"/>
  <c r="O108" i="1"/>
  <c r="O84" i="1"/>
  <c r="O111" i="1"/>
  <c r="O85" i="1"/>
  <c r="O77" i="1"/>
  <c r="O64" i="1"/>
  <c r="O80" i="1"/>
  <c r="O112" i="1"/>
  <c r="O63" i="1"/>
  <c r="O42" i="1"/>
  <c r="O107" i="1"/>
  <c r="O58" i="1"/>
  <c r="O78" i="1"/>
  <c r="O110" i="1"/>
  <c r="O81" i="1"/>
  <c r="O113" i="1"/>
  <c r="O53" i="1"/>
  <c r="O37" i="1"/>
  <c r="O67" i="1"/>
  <c r="O114" i="1"/>
  <c r="C18" i="1" l="1"/>
  <c r="F18" i="1"/>
  <c r="F19" i="1" s="1"/>
</calcChain>
</file>

<file path=xl/sharedStrings.xml><?xml version="1.0" encoding="utf-8"?>
<sst xmlns="http://schemas.openxmlformats.org/spreadsheetml/2006/main" count="949" uniqueCount="459">
  <si>
    <t>EE Peg / GSC 01120-00161</t>
  </si>
  <si>
    <t>System Type:</t>
  </si>
  <si>
    <t>EA/DM</t>
  </si>
  <si>
    <t>Eccentric orbit?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</si>
  <si>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</si>
  <si>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</si>
  <si>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</si>
  <si>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</si>
  <si>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</si>
  <si>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</si>
  <si>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</si>
  <si>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</si>
  <si>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</si>
  <si>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</si>
  <si>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</si>
  <si>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</si>
  <si>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</si>
  <si>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</si>
  <si>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</si>
  <si>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</si>
  <si>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</si>
  <si>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</si>
  <si>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</si>
  <si>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</si>
  <si>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</si>
  <si>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</si>
  <si>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</si>
  <si>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</si>
  <si>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</si>
  <si>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</si>
  <si>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</si>
  <si>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</si>
  <si>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</si>
  <si>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</si>
  <si>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</si>
  <si>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</si>
  <si>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</si>
  <si>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</si>
  <si>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</si>
  <si>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</si>
  <si>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</si>
  <si>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</si>
  <si>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</si>
  <si>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</si>
  <si>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BZ 22.39 </t>
  </si>
  <si>
    <t>II</t>
  </si>
  <si>
    <t> MHSB 22.81 </t>
  </si>
  <si>
    <t> PDDO 2.431 </t>
  </si>
  <si>
    <t> AA 12.138 </t>
  </si>
  <si>
    <t>I</t>
  </si>
  <si>
    <t>BAVM 15 </t>
  </si>
  <si>
    <t> PZ 15.219 </t>
  </si>
  <si>
    <t> AAP 4.174 </t>
  </si>
  <si>
    <t> AJ 76.460 </t>
  </si>
  <si>
    <t>BAVM 26 </t>
  </si>
  <si>
    <t>IBVS 0844</t>
  </si>
  <si>
    <t>phe</t>
  </si>
  <si>
    <t>K</t>
  </si>
  <si>
    <t>IBVS 0740</t>
  </si>
  <si>
    <t>N   v</t>
  </si>
  <si>
    <t> JBAA 83.454 </t>
  </si>
  <si>
    <t> JBAA 85.446 </t>
  </si>
  <si>
    <t>BBSAG Bull.17</t>
  </si>
  <si>
    <t>v</t>
  </si>
  <si>
    <t>Mauron N</t>
  </si>
  <si>
    <t>B</t>
  </si>
  <si>
    <t> VSSC 58.18 </t>
  </si>
  <si>
    <t>BBSAG Bull.32</t>
  </si>
  <si>
    <t>Ralincourt P</t>
  </si>
  <si>
    <t>BBSAG Bull.35</t>
  </si>
  <si>
    <t>Hevesi Z</t>
  </si>
  <si>
    <t>BBSAG Bull.40</t>
  </si>
  <si>
    <t>Nezry E</t>
  </si>
  <si>
    <t>BBSAG Bull.39</t>
  </si>
  <si>
    <t>Poretti E</t>
  </si>
  <si>
    <t>BBSAG Bull.42</t>
  </si>
  <si>
    <t>Brown A</t>
  </si>
  <si>
    <t>BBSAG Bull.45</t>
  </si>
  <si>
    <t>BBSAG Bull.46</t>
  </si>
  <si>
    <t>Pampaloni C</t>
  </si>
  <si>
    <t> VSSC 59.19 </t>
  </si>
  <si>
    <t>Germann R</t>
  </si>
  <si>
    <t>IBVS 2545</t>
  </si>
  <si>
    <t> ALGL 36 </t>
  </si>
  <si>
    <t>BBSAG Bull.50</t>
  </si>
  <si>
    <t>GCVS 4</t>
  </si>
  <si>
    <t>BBSAG Bull.69</t>
  </si>
  <si>
    <t>Wils P</t>
  </si>
  <si>
    <t> ALGL 34 </t>
  </si>
  <si>
    <t> ALGL 35 </t>
  </si>
  <si>
    <t>BRNO 27</t>
  </si>
  <si>
    <t>BBSAG Bull.74</t>
  </si>
  <si>
    <t>Kohl M</t>
  </si>
  <si>
    <t>BAV-M 46</t>
  </si>
  <si>
    <t> VSSC 68.33 </t>
  </si>
  <si>
    <t>BRNO 30</t>
  </si>
  <si>
    <t> VSSC 72.26 </t>
  </si>
  <si>
    <t>BRNO 31</t>
  </si>
  <si>
    <t>IBVS 3762</t>
  </si>
  <si>
    <t>BBSAG Bull.100</t>
  </si>
  <si>
    <t>Acerbi F</t>
  </si>
  <si>
    <t> ALBO 1993 1 </t>
  </si>
  <si>
    <t> ALBO 1994 2 </t>
  </si>
  <si>
    <t> ALBO 1995 2 </t>
  </si>
  <si>
    <t> BRNO 32 </t>
  </si>
  <si>
    <t>BAVM 131 </t>
  </si>
  <si>
    <t> BBS 123 </t>
  </si>
  <si>
    <t>BAVM 143 </t>
  </si>
  <si>
    <t>OEJV 0001</t>
  </si>
  <si>
    <t>BAVM 179 </t>
  </si>
  <si>
    <t>VSB 45 </t>
  </si>
  <si>
    <t>VSB 48 </t>
  </si>
  <si>
    <t>OEJV 0142</t>
  </si>
  <si>
    <t>BAVM 225 </t>
  </si>
  <si>
    <t>OEJV 0165</t>
  </si>
  <si>
    <t>OEJV 0181</t>
  </si>
  <si>
    <t>JAVSO..44…69</t>
  </si>
  <si>
    <t>JAVSO..46..184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</si>
  <si>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</si>
  <si>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</si>
  <si>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</si>
  <si>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</si>
  <si>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</si>
  <si>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</si>
  <si>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</si>
  <si>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2441174.7726 </t>
  </si>
  <si>
    <t> 11.08.1971 06:32 </t>
  </si>
  <si>
    <t> -0.0012 </t>
  </si>
  <si>
    <t>E </t>
  </si>
  <si>
    <t>?</t>
  </si>
  <si>
    <t> R.J.Niehaus </t>
  </si>
  <si>
    <t>IBVS 844 </t>
  </si>
  <si>
    <t>2441559.494 </t>
  </si>
  <si>
    <t> 29.08.1972 23:51 </t>
  </si>
  <si>
    <t> -0.313 </t>
  </si>
  <si>
    <t>V </t>
  </si>
  <si>
    <t> W.Zaluski </t>
  </si>
  <si>
    <t>IBVS 740 </t>
  </si>
  <si>
    <t>2442286.524 </t>
  </si>
  <si>
    <t> 27.08.1974 00:34 </t>
  </si>
  <si>
    <t> 0.016 </t>
  </si>
  <si>
    <t> N.Mauron </t>
  </si>
  <si>
    <t> BBS 17 </t>
  </si>
  <si>
    <t>2443093.368 </t>
  </si>
  <si>
    <t> 10.11.1976 20:49 </t>
  </si>
  <si>
    <t> -0.002 </t>
  </si>
  <si>
    <t> P.Ralincourt </t>
  </si>
  <si>
    <t> BBS 32 </t>
  </si>
  <si>
    <t>2443382.467 </t>
  </si>
  <si>
    <t> 26.08.1977 23:12 </t>
  </si>
  <si>
    <t> -0.007 </t>
  </si>
  <si>
    <t> Z.Hevesi </t>
  </si>
  <si>
    <t> BBS 35 </t>
  </si>
  <si>
    <t>2443390.374 </t>
  </si>
  <si>
    <t> 03.09.1977 20:58 </t>
  </si>
  <si>
    <t>2443771.458 </t>
  </si>
  <si>
    <t> 19.09.1978 22:59 </t>
  </si>
  <si>
    <t> 0.009 </t>
  </si>
  <si>
    <t> E.Nezry </t>
  </si>
  <si>
    <t> BBS 40 </t>
  </si>
  <si>
    <t>2443779.338 </t>
  </si>
  <si>
    <t> 27.09.1978 20:06 </t>
  </si>
  <si>
    <t> 0.004 </t>
  </si>
  <si>
    <t> E.Poretti </t>
  </si>
  <si>
    <t> BBS 39 </t>
  </si>
  <si>
    <t>2443829.255 </t>
  </si>
  <si>
    <t> 16.11.1978 18:07 </t>
  </si>
  <si>
    <t> -0.015 </t>
  </si>
  <si>
    <t> A.Buzzoni </t>
  </si>
  <si>
    <t> BBS 42 </t>
  </si>
  <si>
    <t>2444097.356 </t>
  </si>
  <si>
    <t> 11.08.1979 20:32 </t>
  </si>
  <si>
    <t> 0.008 </t>
  </si>
  <si>
    <t> BBS 45 </t>
  </si>
  <si>
    <t>2444118.394 </t>
  </si>
  <si>
    <t> 01.09.1979 21:27 </t>
  </si>
  <si>
    <t> 0.020 </t>
  </si>
  <si>
    <t> C.Pampaloni </t>
  </si>
  <si>
    <t> BBS 46 </t>
  </si>
  <si>
    <t>2444189.341 </t>
  </si>
  <si>
    <t> 11.11.1979 20:11 </t>
  </si>
  <si>
    <t> 0.005 </t>
  </si>
  <si>
    <t>2444189.346 </t>
  </si>
  <si>
    <t> 11.11.1979 20:18 </t>
  </si>
  <si>
    <t> 0.010 </t>
  </si>
  <si>
    <t> R.Germann </t>
  </si>
  <si>
    <t>2444475.8140 </t>
  </si>
  <si>
    <t> 24.08.1980 07:32 </t>
  </si>
  <si>
    <t> 0.0031 </t>
  </si>
  <si>
    <t> P.A.Delaney </t>
  </si>
  <si>
    <t>IBVS 2545 </t>
  </si>
  <si>
    <t>2444486.337 </t>
  </si>
  <si>
    <t> 03.09.1980 20:05 </t>
  </si>
  <si>
    <t> 0.013 </t>
  </si>
  <si>
    <t> BBS 50 </t>
  </si>
  <si>
    <t>2445546.8202 </t>
  </si>
  <si>
    <t> 31.07.1983 07:41 </t>
  </si>
  <si>
    <t> 0.0120 </t>
  </si>
  <si>
    <t> J.Gagne </t>
  </si>
  <si>
    <t>2445563.8916 </t>
  </si>
  <si>
    <t> 17.08.1983 09:23 </t>
  </si>
  <si>
    <t> 0.0000 </t>
  </si>
  <si>
    <t>2445567.8399 </t>
  </si>
  <si>
    <t> 21.08.1983 08:09 </t>
  </si>
  <si>
    <t> 0.0060 </t>
  </si>
  <si>
    <t>2445603.323 </t>
  </si>
  <si>
    <t> 25.09.1983 19:45 </t>
  </si>
  <si>
    <t> P.Wils </t>
  </si>
  <si>
    <t> BBS 69 </t>
  </si>
  <si>
    <t>2445942.382 </t>
  </si>
  <si>
    <t> 29.08.1984 21:10 </t>
  </si>
  <si>
    <t> 0.028 </t>
  </si>
  <si>
    <t> T.Cervinka </t>
  </si>
  <si>
    <t> BRNO 27 </t>
  </si>
  <si>
    <t>2445992.309 </t>
  </si>
  <si>
    <t> 18.10.1984 19:24 </t>
  </si>
  <si>
    <t> 0.018 </t>
  </si>
  <si>
    <t>2446005.431 </t>
  </si>
  <si>
    <t> 31.10.1984 22:20 </t>
  </si>
  <si>
    <t> -0.001 </t>
  </si>
  <si>
    <t> M.Kohl </t>
  </si>
  <si>
    <t> BBS 74 </t>
  </si>
  <si>
    <t>2446281.410 </t>
  </si>
  <si>
    <t> 03.08.1985 21:50 </t>
  </si>
  <si>
    <t>2446352.359 </t>
  </si>
  <si>
    <t> 13.10.1985 20:36 </t>
  </si>
  <si>
    <t> 0.003 </t>
  </si>
  <si>
    <t> J.Schmidt </t>
  </si>
  <si>
    <t>BAVM 43 </t>
  </si>
  <si>
    <t>2447030.496 </t>
  </si>
  <si>
    <t> 22.08.1987 23:54 </t>
  </si>
  <si>
    <t> 0.061 </t>
  </si>
  <si>
    <t> M.Lenz </t>
  </si>
  <si>
    <t> BRNO 30 </t>
  </si>
  <si>
    <t>2448444.437 </t>
  </si>
  <si>
    <t> 06.07.1991 22:29 </t>
  </si>
  <si>
    <t> 0.023 </t>
  </si>
  <si>
    <t> M.Vrastak </t>
  </si>
  <si>
    <t> BRNO 31 </t>
  </si>
  <si>
    <t>2448486.4656 </t>
  </si>
  <si>
    <t> 17.08.1991 23:10 </t>
  </si>
  <si>
    <t> -0.0002 </t>
  </si>
  <si>
    <t> Wolf &amp; Diethelm </t>
  </si>
  <si>
    <t>IBVS 3762 </t>
  </si>
  <si>
    <t>2448486.472 </t>
  </si>
  <si>
    <t> 17.08.1991 23:19 </t>
  </si>
  <si>
    <t> 0.006 </t>
  </si>
  <si>
    <t> J.Zahajsky </t>
  </si>
  <si>
    <t>2448507.4929 </t>
  </si>
  <si>
    <t> 07.09.1991 23:49 </t>
  </si>
  <si>
    <t> 0.0014 </t>
  </si>
  <si>
    <t>2448507.508 </t>
  </si>
  <si>
    <t> 08.09.1991 00:11 </t>
  </si>
  <si>
    <t> F.Acerbi </t>
  </si>
  <si>
    <t> BBS 100 </t>
  </si>
  <si>
    <t>2449653.386 </t>
  </si>
  <si>
    <t> 27.10.1994 21:15 </t>
  </si>
  <si>
    <t> M.Vetrovkova </t>
  </si>
  <si>
    <t>2449653.391 </t>
  </si>
  <si>
    <t> 27.10.1994 21:23 </t>
  </si>
  <si>
    <t> M.Rottenborn </t>
  </si>
  <si>
    <t>2449661.276 </t>
  </si>
  <si>
    <t> 04.11.1994 18:37 </t>
  </si>
  <si>
    <t>2453251.421 </t>
  </si>
  <si>
    <t> 02.09.2004 22:06 </t>
  </si>
  <si>
    <t> R.Meyer </t>
  </si>
  <si>
    <t>BAVM 174 </t>
  </si>
  <si>
    <t>2455803.418 </t>
  </si>
  <si>
    <t> 29.08.2011 22:01 </t>
  </si>
  <si>
    <t>C </t>
  </si>
  <si>
    <t>o</t>
  </si>
  <si>
    <t> A.Paschke </t>
  </si>
  <si>
    <t>OEJV 0142 </t>
  </si>
  <si>
    <t>2455832.33 </t>
  </si>
  <si>
    <t> 27.09.2011 19:55 </t>
  </si>
  <si>
    <t>3907</t>
  </si>
  <si>
    <t> 0.01 </t>
  </si>
  <si>
    <t>2429176.986 </t>
  </si>
  <si>
    <t> 05.10.1938 11:39 </t>
  </si>
  <si>
    <t> 1.324 </t>
  </si>
  <si>
    <t> K.Gomi </t>
  </si>
  <si>
    <t>2433889.394 </t>
  </si>
  <si>
    <t> 30.08.1951 21:27 </t>
  </si>
  <si>
    <t> 1.344 </t>
  </si>
  <si>
    <t> P.Wellmann </t>
  </si>
  <si>
    <t>2433910.400 </t>
  </si>
  <si>
    <t> 20.09.1951 21:36 </t>
  </si>
  <si>
    <t>2433923.537 </t>
  </si>
  <si>
    <t> 04.10.1951 00:53 </t>
  </si>
  <si>
    <t> 1.320 </t>
  </si>
  <si>
    <t>2433931.417 </t>
  </si>
  <si>
    <t> 11.10.1951 22:00 </t>
  </si>
  <si>
    <t> 1.316 </t>
  </si>
  <si>
    <t>2433939.297 </t>
  </si>
  <si>
    <t> 19.10.1951 19:07 </t>
  </si>
  <si>
    <t> 1.311 </t>
  </si>
  <si>
    <t>2433947.176 </t>
  </si>
  <si>
    <t> 27.10.1951 16:13 </t>
  </si>
  <si>
    <t> 1.305 </t>
  </si>
  <si>
    <t>2433960.316 </t>
  </si>
  <si>
    <t> 09.11.1951 19:35 </t>
  </si>
  <si>
    <t> 1.304 </t>
  </si>
  <si>
    <t>2434606.863 </t>
  </si>
  <si>
    <t> 17.08.1953 08:42 </t>
  </si>
  <si>
    <t> G.A.Bakos </t>
  </si>
  <si>
    <t>2434622.633 </t>
  </si>
  <si>
    <t> 02.09.1953 03:11 </t>
  </si>
  <si>
    <t>2434635.770 </t>
  </si>
  <si>
    <t> 15.09.1953 06:28 </t>
  </si>
  <si>
    <t> 1.307 </t>
  </si>
  <si>
    <t>2434643.656 </t>
  </si>
  <si>
    <t> 23.09.1953 03:44 </t>
  </si>
  <si>
    <t> 1.309 </t>
  </si>
  <si>
    <t>2437204.358 </t>
  </si>
  <si>
    <t> 26.09.1960 20:35 </t>
  </si>
  <si>
    <t> 0.816 </t>
  </si>
  <si>
    <t>F </t>
  </si>
  <si>
    <t> A.Marks </t>
  </si>
  <si>
    <t>2437569.440 </t>
  </si>
  <si>
    <t> 26.09.1961 22:33 </t>
  </si>
  <si>
    <t> 0.576 </t>
  </si>
  <si>
    <t> M.Fernandes </t>
  </si>
  <si>
    <t>2438281.309 </t>
  </si>
  <si>
    <t> 08.09.1963 19:24 </t>
  </si>
  <si>
    <t> 0.199 </t>
  </si>
  <si>
    <t> S.S.Vikhristjuk </t>
  </si>
  <si>
    <t>2438299.508 </t>
  </si>
  <si>
    <t> 27.09.1963 00:11 </t>
  </si>
  <si>
    <t> 0.001 </t>
  </si>
  <si>
    <t> Catalano &amp; Rodono </t>
  </si>
  <si>
    <t>2439324.509 </t>
  </si>
  <si>
    <t> 18.07.1966 00:12 </t>
  </si>
  <si>
    <t>2440286.4329 </t>
  </si>
  <si>
    <t> 05.03.1969 22:23 </t>
  </si>
  <si>
    <t> -0.0045 </t>
  </si>
  <si>
    <t> E.G.Ebbighausen </t>
  </si>
  <si>
    <t>2440462.526 </t>
  </si>
  <si>
    <t> 29.08.1969 00:37 </t>
  </si>
  <si>
    <t>2440469.402 </t>
  </si>
  <si>
    <t> 04.09.1969 21:38 </t>
  </si>
  <si>
    <t> 0.304 </t>
  </si>
  <si>
    <t>2441587.366 </t>
  </si>
  <si>
    <t> 26.09.1972 20:47 </t>
  </si>
  <si>
    <t> -0.037 </t>
  </si>
  <si>
    <t> P.R.Clayton </t>
  </si>
  <si>
    <t>2441915.939 </t>
  </si>
  <si>
    <t> 21.08.1973 10:32 </t>
  </si>
  <si>
    <t> T.T.Gough </t>
  </si>
  <si>
    <t>2441926.441 </t>
  </si>
  <si>
    <t> 31.08.1973 22:35 </t>
  </si>
  <si>
    <t>2441936.956 </t>
  </si>
  <si>
    <t> 11.09.1973 10:56 </t>
  </si>
  <si>
    <t> 0.000 </t>
  </si>
  <si>
    <t>2441997.383 </t>
  </si>
  <si>
    <t> 10.11.1973 21:11 </t>
  </si>
  <si>
    <t> -0.022 </t>
  </si>
  <si>
    <t>2442026.328 </t>
  </si>
  <si>
    <t> 09.12.1973 19:52 </t>
  </si>
  <si>
    <t> T.Brelstaff </t>
  </si>
  <si>
    <t>2443022.405 </t>
  </si>
  <si>
    <t> 31.08.1976 21:43 </t>
  </si>
  <si>
    <t> -0.003 </t>
  </si>
  <si>
    <t>2444168.311 </t>
  </si>
  <si>
    <t> 21.10.1979 19:27 </t>
  </si>
  <si>
    <t>2444486.333 </t>
  </si>
  <si>
    <t> 03.09.1980 19:59 </t>
  </si>
  <si>
    <t> T.Juhasz </t>
  </si>
  <si>
    <t>2445632.246 </t>
  </si>
  <si>
    <t> 24.10.1983 17:54 </t>
  </si>
  <si>
    <t> 0.021 </t>
  </si>
  <si>
    <t> O.Schramm </t>
  </si>
  <si>
    <t>2445674.274 </t>
  </si>
  <si>
    <t> 05.12.1983 18:34 </t>
  </si>
  <si>
    <t>2446352.386 </t>
  </si>
  <si>
    <t> 13.10.1985 21:15 </t>
  </si>
  <si>
    <t> 0.030 </t>
  </si>
  <si>
    <t> I.Middlemist </t>
  </si>
  <si>
    <t>2446720.307 </t>
  </si>
  <si>
    <t> 16.10.1986 19:22 </t>
  </si>
  <si>
    <t> M.Taylor </t>
  </si>
  <si>
    <t>2447469.359 </t>
  </si>
  <si>
    <t> 03.11.1988 20:36 </t>
  </si>
  <si>
    <t> 0.012 </t>
  </si>
  <si>
    <t>2448954.289 </t>
  </si>
  <si>
    <t> 27.11.1992 18:56 </t>
  </si>
  <si>
    <t> M.Csukas </t>
  </si>
  <si>
    <t>2449222.363 </t>
  </si>
  <si>
    <t> 22.08.1993 20:42 </t>
  </si>
  <si>
    <t>2449603.470 </t>
  </si>
  <si>
    <t> 07.09.1994 23:16 </t>
  </si>
  <si>
    <t>2449929.3514 </t>
  </si>
  <si>
    <t> 30.07.1995 20:26 </t>
  </si>
  <si>
    <t> -0.0040 </t>
  </si>
  <si>
    <t> M.Vetrovcova </t>
  </si>
  <si>
    <t>2449942.5039 </t>
  </si>
  <si>
    <t> 13.08.1995 00:05 </t>
  </si>
  <si>
    <t> 0.0074 </t>
  </si>
  <si>
    <t>2450439.2204 </t>
  </si>
  <si>
    <t> 21.12.1996 17:17 </t>
  </si>
  <si>
    <t> -0.0086 </t>
  </si>
  <si>
    <t> M.Netolicky </t>
  </si>
  <si>
    <t>2450628.4747 </t>
  </si>
  <si>
    <t> 28.06.1997 23:23 </t>
  </si>
  <si>
    <t> 0.0143 </t>
  </si>
  <si>
    <t> D.Ruscansky </t>
  </si>
  <si>
    <t>2450628.4788 </t>
  </si>
  <si>
    <t> 28.06.1997 23:29 </t>
  </si>
  <si>
    <t> 0.0184 </t>
  </si>
  <si>
    <t> F.Sura </t>
  </si>
  <si>
    <t>2450628.4802 </t>
  </si>
  <si>
    <t> 28.06.1997 23:31 </t>
  </si>
  <si>
    <t> 0.0198 </t>
  </si>
  <si>
    <t> S.Parimucha </t>
  </si>
  <si>
    <t>2450628.4816 </t>
  </si>
  <si>
    <t> 28.06.1997 23:33 </t>
  </si>
  <si>
    <t> 0.0212 </t>
  </si>
  <si>
    <t> M.Voloch </t>
  </si>
  <si>
    <t>2450628.4858 </t>
  </si>
  <si>
    <t> 28.06.1997 23:39 </t>
  </si>
  <si>
    <t> 0.0254 </t>
  </si>
  <si>
    <t> P.Kocan </t>
  </si>
  <si>
    <t>2450628.4892 </t>
  </si>
  <si>
    <t> 28.06.1997 23:44 </t>
  </si>
  <si>
    <t> 0.0288 </t>
  </si>
  <si>
    <t> L.Kocanova </t>
  </si>
  <si>
    <t>2451377.497 </t>
  </si>
  <si>
    <t> 17.07.1999 23:55 </t>
  </si>
  <si>
    <t> -0.004 </t>
  </si>
  <si>
    <t>2451456.351 </t>
  </si>
  <si>
    <t> 04.10.1999 20:25 </t>
  </si>
  <si>
    <t> K.Tikkanen </t>
  </si>
  <si>
    <t>2451816.397 </t>
  </si>
  <si>
    <t> 28.09.2000 21:31 </t>
  </si>
  <si>
    <t> -0.016 </t>
  </si>
  <si>
    <t>2453611.503 </t>
  </si>
  <si>
    <t> 29.08.2005 00:04 </t>
  </si>
  <si>
    <t> 0.019 </t>
  </si>
  <si>
    <t>2453982.0694 </t>
  </si>
  <si>
    <t> 03.09.2006 13:39 </t>
  </si>
  <si>
    <t> 0.0076 </t>
  </si>
  <si>
    <t> K.Nagai et al. </t>
  </si>
  <si>
    <t>2454003.083 </t>
  </si>
  <si>
    <t> 24.09.2006 13:59 </t>
  </si>
  <si>
    <t>2454681.1711 </t>
  </si>
  <si>
    <t> 02.08.2008 16:06 </t>
  </si>
  <si>
    <t> 0.0043 </t>
  </si>
  <si>
    <t>Rc</t>
  </si>
  <si>
    <t> K.Nagai </t>
  </si>
  <si>
    <t>2455832.3270 </t>
  </si>
  <si>
    <t> 27.09.2011 19:50 </t>
  </si>
  <si>
    <t> 0.0024 </t>
  </si>
  <si>
    <t>-I</t>
  </si>
  <si>
    <t> D.Böhme </t>
  </si>
  <si>
    <t>2456510.40683 </t>
  </si>
  <si>
    <t> 05.08.2013 21:45 </t>
  </si>
  <si>
    <t>4165</t>
  </si>
  <si>
    <t> 0.00296 </t>
  </si>
  <si>
    <t> M.Urbanik </t>
  </si>
  <si>
    <t>OEJV 0160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</si>
</sst>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8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8" fillId="2" borderId="11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Peg - O-C Diagr.</a:t>
            </a:r>
          </a:p>
        </c:rich>
      </c:tx>
      <c:layout>
        <c:manualLayout>
          <c:xMode val="edge"/>
          <c:yMode val="edge"/>
          <c:x val="0.3573947358692839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5437885353088"/>
          <c:y val="0.13254609327680195"/>
          <c:w val="0.83367438537638416"/>
          <c:h val="0.6699629315566323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1.0124050000740681E-2</c:v>
                </c:pt>
                <c:pt idx="1">
                  <c:v>3.0009659996721894E-2</c:v>
                </c:pt>
                <c:pt idx="2">
                  <c:v>1.0295820000465028E-2</c:v>
                </c:pt>
                <c:pt idx="3">
                  <c:v>6.2246699962997809E-3</c:v>
                </c:pt>
                <c:pt idx="4">
                  <c:v>1.5819800028111786E-3</c:v>
                </c:pt>
                <c:pt idx="5">
                  <c:v>-3.060710005229339E-3</c:v>
                </c:pt>
                <c:pt idx="6">
                  <c:v>-8.703400002559647E-3</c:v>
                </c:pt>
                <c:pt idx="7">
                  <c:v>-9.7745500024757348E-3</c:v>
                </c:pt>
                <c:pt idx="8">
                  <c:v>-3.4751300045172684E-3</c:v>
                </c:pt>
                <c:pt idx="9">
                  <c:v>-2.7605100040091202E-3</c:v>
                </c:pt>
                <c:pt idx="10">
                  <c:v>-6.8316600008984096E-3</c:v>
                </c:pt>
                <c:pt idx="11">
                  <c:v>-5.4743500004406087E-3</c:v>
                </c:pt>
                <c:pt idx="15">
                  <c:v>5.3171999752521515E-4</c:v>
                </c:pt>
                <c:pt idx="16">
                  <c:v>-2.0179800048936158E-3</c:v>
                </c:pt>
                <c:pt idx="17">
                  <c:v>-4.526160002569668E-3</c:v>
                </c:pt>
                <c:pt idx="18">
                  <c:v>-1.7795700041460805E-3</c:v>
                </c:pt>
                <c:pt idx="45">
                  <c:v>0</c:v>
                </c:pt>
                <c:pt idx="55">
                  <c:v>3.1309999903896824E-3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0-4B5D-A6F3-CDD70E0BA4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Active!$F$21:$F$1190</c:f>
              <c:numCache>
                <c:formatCode>General</c:formatCode>
                <c:ptCount val="1170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Active!$I$21:$I$1190</c:f>
              <c:numCache>
                <c:formatCode>General</c:formatCode>
                <c:ptCount val="1170"/>
                <c:pt idx="22">
                  <c:v>-3.7470010000106413E-2</c:v>
                </c:pt>
                <c:pt idx="23">
                  <c:v>8.7512399986735545E-3</c:v>
                </c:pt>
                <c:pt idx="24">
                  <c:v>-2.1056800032965839E-3</c:v>
                </c:pt>
                <c:pt idx="25">
                  <c:v>3.7399993743747473E-5</c:v>
                </c:pt>
                <c:pt idx="26">
                  <c:v>-2.1889889998419676E-2</c:v>
                </c:pt>
                <c:pt idx="27">
                  <c:v>1.2753579998388886E-2</c:v>
                </c:pt>
                <c:pt idx="28">
                  <c:v>1.5544809997663833E-2</c:v>
                </c:pt>
                <c:pt idx="29">
                  <c:v>-3.4395900001982227E-3</c:v>
                </c:pt>
                <c:pt idx="30">
                  <c:v>-2.2238000019569881E-3</c:v>
                </c:pt>
                <c:pt idx="31">
                  <c:v>-6.7891000071540475E-3</c:v>
                </c:pt>
                <c:pt idx="32">
                  <c:v>1.5568210001219995E-2</c:v>
                </c:pt>
                <c:pt idx="33">
                  <c:v>8.5048599939909764E-3</c:v>
                </c:pt>
                <c:pt idx="34">
                  <c:v>3.862170000502374E-3</c:v>
                </c:pt>
                <c:pt idx="35">
                  <c:v>-1.5208200005872641E-2</c:v>
                </c:pt>
                <c:pt idx="36">
                  <c:v>7.9403399940929376E-3</c:v>
                </c:pt>
                <c:pt idx="37">
                  <c:v>2.0226499997079372E-2</c:v>
                </c:pt>
                <c:pt idx="38">
                  <c:v>1.1561299979803152E-3</c:v>
                </c:pt>
                <c:pt idx="39">
                  <c:v>5.4422899993369356E-3</c:v>
                </c:pt>
                <c:pt idx="40">
                  <c:v>1.0442289996717591E-2</c:v>
                </c:pt>
                <c:pt idx="41">
                  <c:v>3.0912199945305474E-3</c:v>
                </c:pt>
                <c:pt idx="42">
                  <c:v>9.2342999996617436E-3</c:v>
                </c:pt>
                <c:pt idx="43">
                  <c:v>1.3234300000476651E-2</c:v>
                </c:pt>
                <c:pt idx="48">
                  <c:v>8.1865499960258603E-3</c:v>
                </c:pt>
                <c:pt idx="49">
                  <c:v>2.083001999562839E-2</c:v>
                </c:pt>
                <c:pt idx="50">
                  <c:v>-2.5976600081776269E-3</c:v>
                </c:pt>
                <c:pt idx="51">
                  <c:v>2.7550879996852018E-2</c:v>
                </c:pt>
                <c:pt idx="52">
                  <c:v>1.8480509999790229E-2</c:v>
                </c:pt>
                <c:pt idx="53">
                  <c:v>-5.9064000379294157E-4</c:v>
                </c:pt>
                <c:pt idx="54">
                  <c:v>1.5915210002276581E-2</c:v>
                </c:pt>
                <c:pt idx="55">
                  <c:v>3.1309999903896824E-3</c:v>
                </c:pt>
                <c:pt idx="56">
                  <c:v>3.0130999992252328E-2</c:v>
                </c:pt>
                <c:pt idx="57">
                  <c:v>1.1387999984435737E-3</c:v>
                </c:pt>
                <c:pt idx="58">
                  <c:v>6.0859659999550786E-2</c:v>
                </c:pt>
                <c:pt idx="59">
                  <c:v>1.2083249996067025E-2</c:v>
                </c:pt>
                <c:pt idx="60">
                  <c:v>2.2603919998800848E-2</c:v>
                </c:pt>
                <c:pt idx="62">
                  <c:v>6.1762400000588968E-3</c:v>
                </c:pt>
                <c:pt idx="64">
                  <c:v>1.646239999536192E-2</c:v>
                </c:pt>
                <c:pt idx="65">
                  <c:v>1.0432999915792607E-3</c:v>
                </c:pt>
                <c:pt idx="66">
                  <c:v>-2.8081600030418485E-3</c:v>
                </c:pt>
                <c:pt idx="67">
                  <c:v>1.3128489998052828E-2</c:v>
                </c:pt>
                <c:pt idx="68">
                  <c:v>-6.9418800048879348E-3</c:v>
                </c:pt>
                <c:pt idx="69">
                  <c:v>-1.9418800002313219E-3</c:v>
                </c:pt>
                <c:pt idx="70">
                  <c:v>-1.5845700036152266E-3</c:v>
                </c:pt>
                <c:pt idx="80">
                  <c:v>-4.4767599974875338E-3</c:v>
                </c:pt>
                <c:pt idx="81">
                  <c:v>3.0963399985921569E-3</c:v>
                </c:pt>
                <c:pt idx="82">
                  <c:v>-1.6253170004347339E-2</c:v>
                </c:pt>
                <c:pt idx="83">
                  <c:v>2.7772499961429276E-3</c:v>
                </c:pt>
                <c:pt idx="84">
                  <c:v>1.9427739993261639E-2</c:v>
                </c:pt>
                <c:pt idx="86">
                  <c:v>-4.492530002607964E-3</c:v>
                </c:pt>
                <c:pt idx="88">
                  <c:v>3.759919993171934E-3</c:v>
                </c:pt>
                <c:pt idx="89">
                  <c:v>2.4033899899222888E-3</c:v>
                </c:pt>
                <c:pt idx="90">
                  <c:v>5.4033899941714481E-3</c:v>
                </c:pt>
                <c:pt idx="92">
                  <c:v>-1.2709660004475154E-2</c:v>
                </c:pt>
                <c:pt idx="93">
                  <c:v>4.984489998605568E-3</c:v>
                </c:pt>
                <c:pt idx="94">
                  <c:v>1.0355639999033883E-2</c:v>
                </c:pt>
                <c:pt idx="95">
                  <c:v>1.9712169996637385E-2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B0-4B5D-A6F3-CDD70E0BA4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Active!$F$21:$F$1109</c:f>
              <c:numCache>
                <c:formatCode>General</c:formatCode>
                <c:ptCount val="108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Active!$J$21:$J$1109</c:f>
              <c:numCache>
                <c:formatCode>General</c:formatCode>
                <c:ptCount val="1089"/>
                <c:pt idx="44">
                  <c:v>1.1992494997684844E-2</c:v>
                </c:pt>
                <c:pt idx="46">
                  <c:v>0</c:v>
                </c:pt>
                <c:pt idx="47">
                  <c:v>5.9786549973068759E-3</c:v>
                </c:pt>
                <c:pt idx="61">
                  <c:v>-2.2375999833457172E-4</c:v>
                </c:pt>
                <c:pt idx="63">
                  <c:v>1.3623999911942519E-3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B0-4B5D-A6F3-CDD70E0BA4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Active!$F$21:$F$1190</c:f>
              <c:numCache>
                <c:formatCode>General</c:formatCode>
                <c:ptCount val="1170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Active!$K$21:$K$1190</c:f>
              <c:numCache>
                <c:formatCode>General</c:formatCode>
                <c:ptCount val="1170"/>
                <c:pt idx="20">
                  <c:v>-1.2359000029391609E-3</c:v>
                </c:pt>
                <c:pt idx="71">
                  <c:v>-4.0360300044994801E-3</c:v>
                </c:pt>
                <c:pt idx="72">
                  <c:v>7.3928199999500066E-3</c:v>
                </c:pt>
                <c:pt idx="73">
                  <c:v>-8.5966500046197325E-3</c:v>
                </c:pt>
                <c:pt idx="74">
                  <c:v>1.4278789996751584E-2</c:v>
                </c:pt>
                <c:pt idx="75">
                  <c:v>1.8378789995040279E-2</c:v>
                </c:pt>
                <c:pt idx="76">
                  <c:v>1.9778789996053092E-2</c:v>
                </c:pt>
                <c:pt idx="77">
                  <c:v>2.1178789997065905E-2</c:v>
                </c:pt>
                <c:pt idx="78">
                  <c:v>2.5378790000104345E-2</c:v>
                </c:pt>
                <c:pt idx="79">
                  <c:v>2.8778790001524612E-2</c:v>
                </c:pt>
                <c:pt idx="85">
                  <c:v>7.6213099964661524E-3</c:v>
                </c:pt>
                <c:pt idx="87">
                  <c:v>4.336129997682292E-3</c:v>
                </c:pt>
                <c:pt idx="91">
                  <c:v>7.4320499988971278E-3</c:v>
                </c:pt>
                <c:pt idx="96">
                  <c:v>1.4156029996229336E-2</c:v>
                </c:pt>
                <c:pt idx="97">
                  <c:v>9.2203599997446872E-3</c:v>
                </c:pt>
                <c:pt idx="98">
                  <c:v>8.5359599979710765E-3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B0-4B5D-A6F3-CDD70E0BA4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B0-4B5D-A6F3-CDD70E0BA4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B0-4B5D-A6F3-CDD70E0BA4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B0-4B5D-A6F3-CDD70E0BA4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0">
                  <c:v>-4.5055781843710875E-5</c:v>
                </c:pt>
                <c:pt idx="1">
                  <c:v>1.5171481916495763E-3</c:v>
                </c:pt>
                <c:pt idx="2">
                  <c:v>1.5241184268910408E-3</c:v>
                </c:pt>
                <c:pt idx="3">
                  <c:v>1.5284748239169561E-3</c:v>
                </c:pt>
                <c:pt idx="4">
                  <c:v>1.5310886621325054E-3</c:v>
                </c:pt>
                <c:pt idx="5">
                  <c:v>1.5337025003480547E-3</c:v>
                </c:pt>
                <c:pt idx="6">
                  <c:v>1.536316338563604E-3</c:v>
                </c:pt>
                <c:pt idx="7">
                  <c:v>1.5406727355895197E-3</c:v>
                </c:pt>
                <c:pt idx="8">
                  <c:v>1.7550074692645606E-3</c:v>
                </c:pt>
                <c:pt idx="9">
                  <c:v>1.7602351456956593E-3</c:v>
                </c:pt>
                <c:pt idx="10">
                  <c:v>1.7645915427215745E-3</c:v>
                </c:pt>
                <c:pt idx="11">
                  <c:v>1.7672053809371239E-3</c:v>
                </c:pt>
                <c:pt idx="12">
                  <c:v>2.6162671612880487E-3</c:v>
                </c:pt>
                <c:pt idx="13">
                  <c:v>2.736939358905907E-3</c:v>
                </c:pt>
                <c:pt idx="14">
                  <c:v>2.9730560777105255E-3</c:v>
                </c:pt>
                <c:pt idx="15">
                  <c:v>2.9791550335468071E-3</c:v>
                </c:pt>
                <c:pt idx="16">
                  <c:v>3.3189540015682137E-3</c:v>
                </c:pt>
                <c:pt idx="17">
                  <c:v>3.6378422638652262E-3</c:v>
                </c:pt>
                <c:pt idx="18">
                  <c:v>3.6962179840124934E-3</c:v>
                </c:pt>
                <c:pt idx="19">
                  <c:v>3.698396182525451E-3</c:v>
                </c:pt>
                <c:pt idx="20">
                  <c:v>3.9323347028171118E-3</c:v>
                </c:pt>
                <c:pt idx="21">
                  <c:v>4.0599771356764347E-3</c:v>
                </c:pt>
                <c:pt idx="22">
                  <c:v>4.0691255694308573E-3</c:v>
                </c:pt>
                <c:pt idx="23">
                  <c:v>4.1780354950787437E-3</c:v>
                </c:pt>
                <c:pt idx="24">
                  <c:v>4.1815206126994764E-3</c:v>
                </c:pt>
                <c:pt idx="25">
                  <c:v>4.1850057303202091E-3</c:v>
                </c:pt>
                <c:pt idx="26">
                  <c:v>4.2050451566394195E-3</c:v>
                </c:pt>
                <c:pt idx="27">
                  <c:v>4.2146292300964342E-3</c:v>
                </c:pt>
                <c:pt idx="28">
                  <c:v>4.3008858912095601E-3</c:v>
                </c:pt>
                <c:pt idx="29">
                  <c:v>4.5448441246608261E-3</c:v>
                </c:pt>
                <c:pt idx="30">
                  <c:v>4.56836866860077E-3</c:v>
                </c:pt>
                <c:pt idx="31">
                  <c:v>4.6642094031709106E-3</c:v>
                </c:pt>
                <c:pt idx="32">
                  <c:v>4.6668232413864599E-3</c:v>
                </c:pt>
                <c:pt idx="33">
                  <c:v>4.7931587551380082E-3</c:v>
                </c:pt>
                <c:pt idx="34">
                  <c:v>4.7957725933535575E-3</c:v>
                </c:pt>
                <c:pt idx="35">
                  <c:v>4.8123269020520359E-3</c:v>
                </c:pt>
                <c:pt idx="36">
                  <c:v>4.901197401380712E-3</c:v>
                </c:pt>
                <c:pt idx="37">
                  <c:v>4.9081676366221766E-3</c:v>
                </c:pt>
                <c:pt idx="38">
                  <c:v>4.924721945320655E-3</c:v>
                </c:pt>
                <c:pt idx="39">
                  <c:v>4.9316921805621205E-3</c:v>
                </c:pt>
                <c:pt idx="40">
                  <c:v>4.9316921805621205E-3</c:v>
                </c:pt>
                <c:pt idx="41">
                  <c:v>5.0266616357270769E-3</c:v>
                </c:pt>
                <c:pt idx="42">
                  <c:v>5.0301467533478096E-3</c:v>
                </c:pt>
                <c:pt idx="43">
                  <c:v>5.0301467533478096E-3</c:v>
                </c:pt>
                <c:pt idx="44">
                  <c:v>5.3817079933391881E-3</c:v>
                </c:pt>
                <c:pt idx="45">
                  <c:v>5.3873713094728781E-3</c:v>
                </c:pt>
                <c:pt idx="46">
                  <c:v>5.3873713094728781E-3</c:v>
                </c:pt>
                <c:pt idx="47">
                  <c:v>5.3886782285806527E-3</c:v>
                </c:pt>
                <c:pt idx="48">
                  <c:v>5.4004405005506247E-3</c:v>
                </c:pt>
                <c:pt idx="49">
                  <c:v>5.4100245740076386E-3</c:v>
                </c:pt>
                <c:pt idx="50">
                  <c:v>5.4239650444905677E-3</c:v>
                </c:pt>
                <c:pt idx="51">
                  <c:v>5.5128355438192438E-3</c:v>
                </c:pt>
                <c:pt idx="52">
                  <c:v>5.5293898525177222E-3</c:v>
                </c:pt>
                <c:pt idx="53">
                  <c:v>5.5337462495436375E-3</c:v>
                </c:pt>
                <c:pt idx="54">
                  <c:v>5.6252305870878629E-3</c:v>
                </c:pt>
                <c:pt idx="55">
                  <c:v>5.6487551310278059E-3</c:v>
                </c:pt>
                <c:pt idx="56">
                  <c:v>5.6487551310278059E-3</c:v>
                </c:pt>
                <c:pt idx="57">
                  <c:v>5.7707342477534389E-3</c:v>
                </c:pt>
                <c:pt idx="58">
                  <c:v>5.8735452175650441E-3</c:v>
                </c:pt>
                <c:pt idx="59">
                  <c:v>6.019048878230621E-3</c:v>
                </c:pt>
                <c:pt idx="60">
                  <c:v>6.3422935375535491E-3</c:v>
                </c:pt>
                <c:pt idx="61">
                  <c:v>6.3562340080364783E-3</c:v>
                </c:pt>
                <c:pt idx="62">
                  <c:v>6.3562340080364783E-3</c:v>
                </c:pt>
                <c:pt idx="63">
                  <c:v>6.3632042432779428E-3</c:v>
                </c:pt>
                <c:pt idx="64">
                  <c:v>6.3632042432779428E-3</c:v>
                </c:pt>
                <c:pt idx="65">
                  <c:v>6.511321742159069E-3</c:v>
                </c:pt>
                <c:pt idx="66">
                  <c:v>6.6001922414877442E-3</c:v>
                </c:pt>
                <c:pt idx="67">
                  <c:v>6.7265277552392925E-3</c:v>
                </c:pt>
                <c:pt idx="68">
                  <c:v>6.7430820639377718E-3</c:v>
                </c:pt>
                <c:pt idx="69">
                  <c:v>6.7430820639377718E-3</c:v>
                </c:pt>
                <c:pt idx="70">
                  <c:v>6.7456959021533211E-3</c:v>
                </c:pt>
                <c:pt idx="71">
                  <c:v>6.8345664014819963E-3</c:v>
                </c:pt>
                <c:pt idx="72">
                  <c:v>6.8389227985079116E-3</c:v>
                </c:pt>
                <c:pt idx="73">
                  <c:v>7.0035946060875171E-3</c:v>
                </c:pt>
                <c:pt idx="74">
                  <c:v>7.0663267232606991E-3</c:v>
                </c:pt>
                <c:pt idx="75">
                  <c:v>7.0663267232606991E-3</c:v>
                </c:pt>
                <c:pt idx="76">
                  <c:v>7.0663267232606991E-3</c:v>
                </c:pt>
                <c:pt idx="77">
                  <c:v>7.0663267232606991E-3</c:v>
                </c:pt>
                <c:pt idx="78">
                  <c:v>7.0663267232606991E-3</c:v>
                </c:pt>
                <c:pt idx="79">
                  <c:v>7.0663267232606991E-3</c:v>
                </c:pt>
                <c:pt idx="80">
                  <c:v>7.3146413537378812E-3</c:v>
                </c:pt>
                <c:pt idx="81">
                  <c:v>7.3407797358933744E-3</c:v>
                </c:pt>
                <c:pt idx="82">
                  <c:v>7.4601450144034572E-3</c:v>
                </c:pt>
                <c:pt idx="83">
                  <c:v>7.9358635696334268E-3</c:v>
                </c:pt>
                <c:pt idx="84">
                  <c:v>8.0552288481435114E-3</c:v>
                </c:pt>
                <c:pt idx="85">
                  <c:v>8.1780792442743278E-3</c:v>
                </c:pt>
                <c:pt idx="86">
                  <c:v>8.1850494795157915E-3</c:v>
                </c:pt>
                <c:pt idx="87">
                  <c:v>8.4098395660530297E-3</c:v>
                </c:pt>
                <c:pt idx="88">
                  <c:v>8.7818758720662107E-3</c:v>
                </c:pt>
                <c:pt idx="89">
                  <c:v>8.7914599455232254E-3</c:v>
                </c:pt>
                <c:pt idx="90">
                  <c:v>8.7914599455232254E-3</c:v>
                </c:pt>
                <c:pt idx="91">
                  <c:v>9.0162500320604636E-3</c:v>
                </c:pt>
                <c:pt idx="92">
                  <c:v>9.2575944272961803E-3</c:v>
                </c:pt>
                <c:pt idx="93">
                  <c:v>9.1661100897519558E-3</c:v>
                </c:pt>
                <c:pt idx="94">
                  <c:v>9.1617536927260396E-3</c:v>
                </c:pt>
                <c:pt idx="95">
                  <c:v>9.1521696192690266E-3</c:v>
                </c:pt>
                <c:pt idx="96">
                  <c:v>9.1678526485623208E-3</c:v>
                </c:pt>
                <c:pt idx="97">
                  <c:v>9.2802476918309399E-3</c:v>
                </c:pt>
                <c:pt idx="98">
                  <c:v>9.5242059252822059E-3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B0-4B5D-A6F3-CDD70E0BA4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Active!$U$21:$U$119</c:f>
              <c:numCache>
                <c:formatCode>General</c:formatCode>
                <c:ptCount val="99"/>
                <c:pt idx="12">
                  <c:v>-0.49824148500192678</c:v>
                </c:pt>
                <c:pt idx="13">
                  <c:v>0.57608766000339529</c:v>
                </c:pt>
                <c:pt idx="14">
                  <c:v>0.19903132999752415</c:v>
                </c:pt>
                <c:pt idx="19">
                  <c:v>0.30368485499639064</c:v>
                </c:pt>
                <c:pt idx="21">
                  <c:v>-0.313220595002349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B0-4B5D-A6F3-CDD70E0BA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083936"/>
        <c:axId val="1"/>
      </c:scatterChart>
      <c:valAx>
        <c:axId val="64608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6650670145534"/>
              <c:y val="0.86253341409246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807467113948033E-2"/>
              <c:y val="0.34935206945285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083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42204413797387"/>
          <c:y val="0.92140004037956791"/>
          <c:w val="0.8468317252596946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Peg - O-C Diagr.</a:t>
            </a:r>
          </a:p>
        </c:rich>
      </c:tx>
      <c:layout>
        <c:manualLayout>
          <c:xMode val="edge"/>
          <c:yMode val="edge"/>
          <c:x val="0.3585237258347979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4768656070071"/>
          <c:y val="0.16463142810625581"/>
          <c:w val="0.81272826549479016"/>
          <c:h val="0.638493563817827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1.0124050000740681E-2</c:v>
                </c:pt>
                <c:pt idx="1">
                  <c:v>3.0009659996721894E-2</c:v>
                </c:pt>
                <c:pt idx="2">
                  <c:v>1.0295820000465028E-2</c:v>
                </c:pt>
                <c:pt idx="3">
                  <c:v>6.2246699962997809E-3</c:v>
                </c:pt>
                <c:pt idx="4">
                  <c:v>1.5819800028111786E-3</c:v>
                </c:pt>
                <c:pt idx="5">
                  <c:v>-3.060710005229339E-3</c:v>
                </c:pt>
                <c:pt idx="6">
                  <c:v>-8.703400002559647E-3</c:v>
                </c:pt>
                <c:pt idx="7">
                  <c:v>-9.7745500024757348E-3</c:v>
                </c:pt>
                <c:pt idx="8">
                  <c:v>-3.4751300045172684E-3</c:v>
                </c:pt>
                <c:pt idx="9">
                  <c:v>-2.7605100040091202E-3</c:v>
                </c:pt>
                <c:pt idx="10">
                  <c:v>-6.8316600008984096E-3</c:v>
                </c:pt>
                <c:pt idx="11">
                  <c:v>-5.4743500004406087E-3</c:v>
                </c:pt>
                <c:pt idx="15">
                  <c:v>5.3171999752521515E-4</c:v>
                </c:pt>
                <c:pt idx="16">
                  <c:v>-2.0179800048936158E-3</c:v>
                </c:pt>
                <c:pt idx="17">
                  <c:v>-4.526160002569668E-3</c:v>
                </c:pt>
                <c:pt idx="18">
                  <c:v>-1.7795700041460805E-3</c:v>
                </c:pt>
                <c:pt idx="45">
                  <c:v>0</c:v>
                </c:pt>
                <c:pt idx="55">
                  <c:v>3.1309999903896824E-3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6-4B26-9B9B-F3EEF5536B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Active!$I$21:$I$119</c:f>
              <c:numCache>
                <c:formatCode>General</c:formatCode>
                <c:ptCount val="99"/>
                <c:pt idx="22">
                  <c:v>-3.7470010000106413E-2</c:v>
                </c:pt>
                <c:pt idx="23">
                  <c:v>8.7512399986735545E-3</c:v>
                </c:pt>
                <c:pt idx="24">
                  <c:v>-2.1056800032965839E-3</c:v>
                </c:pt>
                <c:pt idx="25">
                  <c:v>3.7399993743747473E-5</c:v>
                </c:pt>
                <c:pt idx="26">
                  <c:v>-2.1889889998419676E-2</c:v>
                </c:pt>
                <c:pt idx="27">
                  <c:v>1.2753579998388886E-2</c:v>
                </c:pt>
                <c:pt idx="28">
                  <c:v>1.5544809997663833E-2</c:v>
                </c:pt>
                <c:pt idx="29">
                  <c:v>-3.4395900001982227E-3</c:v>
                </c:pt>
                <c:pt idx="30">
                  <c:v>-2.2238000019569881E-3</c:v>
                </c:pt>
                <c:pt idx="31">
                  <c:v>-6.7891000071540475E-3</c:v>
                </c:pt>
                <c:pt idx="32">
                  <c:v>1.5568210001219995E-2</c:v>
                </c:pt>
                <c:pt idx="33">
                  <c:v>8.5048599939909764E-3</c:v>
                </c:pt>
                <c:pt idx="34">
                  <c:v>3.862170000502374E-3</c:v>
                </c:pt>
                <c:pt idx="35">
                  <c:v>-1.5208200005872641E-2</c:v>
                </c:pt>
                <c:pt idx="36">
                  <c:v>7.9403399940929376E-3</c:v>
                </c:pt>
                <c:pt idx="37">
                  <c:v>2.0226499997079372E-2</c:v>
                </c:pt>
                <c:pt idx="38">
                  <c:v>1.1561299979803152E-3</c:v>
                </c:pt>
                <c:pt idx="39">
                  <c:v>5.4422899993369356E-3</c:v>
                </c:pt>
                <c:pt idx="40">
                  <c:v>1.0442289996717591E-2</c:v>
                </c:pt>
                <c:pt idx="41">
                  <c:v>3.0912199945305474E-3</c:v>
                </c:pt>
                <c:pt idx="42">
                  <c:v>9.2342999996617436E-3</c:v>
                </c:pt>
                <c:pt idx="43">
                  <c:v>1.3234300000476651E-2</c:v>
                </c:pt>
                <c:pt idx="48">
                  <c:v>8.1865499960258603E-3</c:v>
                </c:pt>
                <c:pt idx="49">
                  <c:v>2.083001999562839E-2</c:v>
                </c:pt>
                <c:pt idx="50">
                  <c:v>-2.5976600081776269E-3</c:v>
                </c:pt>
                <c:pt idx="51">
                  <c:v>2.7550879996852018E-2</c:v>
                </c:pt>
                <c:pt idx="52">
                  <c:v>1.8480509999790229E-2</c:v>
                </c:pt>
                <c:pt idx="53">
                  <c:v>-5.9064000379294157E-4</c:v>
                </c:pt>
                <c:pt idx="54">
                  <c:v>1.5915210002276581E-2</c:v>
                </c:pt>
                <c:pt idx="55">
                  <c:v>3.1309999903896824E-3</c:v>
                </c:pt>
                <c:pt idx="56">
                  <c:v>3.0130999992252328E-2</c:v>
                </c:pt>
                <c:pt idx="57">
                  <c:v>1.1387999984435737E-3</c:v>
                </c:pt>
                <c:pt idx="58">
                  <c:v>6.0859659999550786E-2</c:v>
                </c:pt>
                <c:pt idx="59">
                  <c:v>1.2083249996067025E-2</c:v>
                </c:pt>
                <c:pt idx="60">
                  <c:v>2.2603919998800848E-2</c:v>
                </c:pt>
                <c:pt idx="62">
                  <c:v>6.1762400000588968E-3</c:v>
                </c:pt>
                <c:pt idx="64">
                  <c:v>1.646239999536192E-2</c:v>
                </c:pt>
                <c:pt idx="65">
                  <c:v>1.0432999915792607E-3</c:v>
                </c:pt>
                <c:pt idx="66">
                  <c:v>-2.8081600030418485E-3</c:v>
                </c:pt>
                <c:pt idx="67">
                  <c:v>1.3128489998052828E-2</c:v>
                </c:pt>
                <c:pt idx="68">
                  <c:v>-6.9418800048879348E-3</c:v>
                </c:pt>
                <c:pt idx="69">
                  <c:v>-1.9418800002313219E-3</c:v>
                </c:pt>
                <c:pt idx="70">
                  <c:v>-1.5845700036152266E-3</c:v>
                </c:pt>
                <c:pt idx="80">
                  <c:v>-4.4767599974875338E-3</c:v>
                </c:pt>
                <c:pt idx="81">
                  <c:v>3.0963399985921569E-3</c:v>
                </c:pt>
                <c:pt idx="82">
                  <c:v>-1.6253170004347339E-2</c:v>
                </c:pt>
                <c:pt idx="83">
                  <c:v>2.7772499961429276E-3</c:v>
                </c:pt>
                <c:pt idx="84">
                  <c:v>1.9427739993261639E-2</c:v>
                </c:pt>
                <c:pt idx="86">
                  <c:v>-4.492530002607964E-3</c:v>
                </c:pt>
                <c:pt idx="88">
                  <c:v>3.759919993171934E-3</c:v>
                </c:pt>
                <c:pt idx="89">
                  <c:v>2.4033899899222888E-3</c:v>
                </c:pt>
                <c:pt idx="90">
                  <c:v>5.4033899941714481E-3</c:v>
                </c:pt>
                <c:pt idx="92">
                  <c:v>-1.2709660004475154E-2</c:v>
                </c:pt>
                <c:pt idx="93">
                  <c:v>4.984489998605568E-3</c:v>
                </c:pt>
                <c:pt idx="94">
                  <c:v>1.0355639999033883E-2</c:v>
                </c:pt>
                <c:pt idx="95">
                  <c:v>1.9712169996637385E-2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6-4B26-9B9B-F3EEF5536BA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Active!$J$21:$J$119</c:f>
              <c:numCache>
                <c:formatCode>General</c:formatCode>
                <c:ptCount val="99"/>
                <c:pt idx="44">
                  <c:v>1.1992494997684844E-2</c:v>
                </c:pt>
                <c:pt idx="46">
                  <c:v>0</c:v>
                </c:pt>
                <c:pt idx="47">
                  <c:v>5.9786549973068759E-3</c:v>
                </c:pt>
                <c:pt idx="61">
                  <c:v>-2.2375999833457172E-4</c:v>
                </c:pt>
                <c:pt idx="63">
                  <c:v>1.3623999911942519E-3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36-4B26-9B9B-F3EEF5536BA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solidFill>
                <a:srgbClr val="000000"/>
              </a:solidFill>
            </a:ln>
          </c:spPr>
          <c:marker>
            <c:symbol val="triangl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95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4E36-4B26-9B9B-F3EEF5536BA0}"/>
              </c:ext>
            </c:extLst>
          </c:dPt>
          <c:xVal>
            <c:numRef>
              <c:f>Active!$F$21:$F$1190</c:f>
              <c:numCache>
                <c:formatCode>General</c:formatCode>
                <c:ptCount val="1170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Active!$K$21:$K$1190</c:f>
              <c:numCache>
                <c:formatCode>General</c:formatCode>
                <c:ptCount val="1170"/>
                <c:pt idx="20">
                  <c:v>-1.2359000029391609E-3</c:v>
                </c:pt>
                <c:pt idx="71">
                  <c:v>-4.0360300044994801E-3</c:v>
                </c:pt>
                <c:pt idx="72">
                  <c:v>7.3928199999500066E-3</c:v>
                </c:pt>
                <c:pt idx="73">
                  <c:v>-8.5966500046197325E-3</c:v>
                </c:pt>
                <c:pt idx="74">
                  <c:v>1.4278789996751584E-2</c:v>
                </c:pt>
                <c:pt idx="75">
                  <c:v>1.8378789995040279E-2</c:v>
                </c:pt>
                <c:pt idx="76">
                  <c:v>1.9778789996053092E-2</c:v>
                </c:pt>
                <c:pt idx="77">
                  <c:v>2.1178789997065905E-2</c:v>
                </c:pt>
                <c:pt idx="78">
                  <c:v>2.5378790000104345E-2</c:v>
                </c:pt>
                <c:pt idx="79">
                  <c:v>2.8778790001524612E-2</c:v>
                </c:pt>
                <c:pt idx="85">
                  <c:v>7.6213099964661524E-3</c:v>
                </c:pt>
                <c:pt idx="87">
                  <c:v>4.336129997682292E-3</c:v>
                </c:pt>
                <c:pt idx="91">
                  <c:v>7.4320499988971278E-3</c:v>
                </c:pt>
                <c:pt idx="96">
                  <c:v>1.4156029996229336E-2</c:v>
                </c:pt>
                <c:pt idx="97">
                  <c:v>9.2203599997446872E-3</c:v>
                </c:pt>
                <c:pt idx="98">
                  <c:v>8.5359599979710765E-3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36-4B26-9B9B-F3EEF5536BA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36-4B26-9B9B-F3EEF5536B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36-4B26-9B9B-F3EEF5536B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36-4B26-9B9B-F3EEF5536B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0">
                  <c:v>-4.5055781843710875E-5</c:v>
                </c:pt>
                <c:pt idx="1">
                  <c:v>1.5171481916495763E-3</c:v>
                </c:pt>
                <c:pt idx="2">
                  <c:v>1.5241184268910408E-3</c:v>
                </c:pt>
                <c:pt idx="3">
                  <c:v>1.5284748239169561E-3</c:v>
                </c:pt>
                <c:pt idx="4">
                  <c:v>1.5310886621325054E-3</c:v>
                </c:pt>
                <c:pt idx="5">
                  <c:v>1.5337025003480547E-3</c:v>
                </c:pt>
                <c:pt idx="6">
                  <c:v>1.536316338563604E-3</c:v>
                </c:pt>
                <c:pt idx="7">
                  <c:v>1.5406727355895197E-3</c:v>
                </c:pt>
                <c:pt idx="8">
                  <c:v>1.7550074692645606E-3</c:v>
                </c:pt>
                <c:pt idx="9">
                  <c:v>1.7602351456956593E-3</c:v>
                </c:pt>
                <c:pt idx="10">
                  <c:v>1.7645915427215745E-3</c:v>
                </c:pt>
                <c:pt idx="11">
                  <c:v>1.7672053809371239E-3</c:v>
                </c:pt>
                <c:pt idx="12">
                  <c:v>2.6162671612880487E-3</c:v>
                </c:pt>
                <c:pt idx="13">
                  <c:v>2.736939358905907E-3</c:v>
                </c:pt>
                <c:pt idx="14">
                  <c:v>2.9730560777105255E-3</c:v>
                </c:pt>
                <c:pt idx="15">
                  <c:v>2.9791550335468071E-3</c:v>
                </c:pt>
                <c:pt idx="16">
                  <c:v>3.3189540015682137E-3</c:v>
                </c:pt>
                <c:pt idx="17">
                  <c:v>3.6378422638652262E-3</c:v>
                </c:pt>
                <c:pt idx="18">
                  <c:v>3.6962179840124934E-3</c:v>
                </c:pt>
                <c:pt idx="19">
                  <c:v>3.698396182525451E-3</c:v>
                </c:pt>
                <c:pt idx="20">
                  <c:v>3.9323347028171118E-3</c:v>
                </c:pt>
                <c:pt idx="21">
                  <c:v>4.0599771356764347E-3</c:v>
                </c:pt>
                <c:pt idx="22">
                  <c:v>4.0691255694308573E-3</c:v>
                </c:pt>
                <c:pt idx="23">
                  <c:v>4.1780354950787437E-3</c:v>
                </c:pt>
                <c:pt idx="24">
                  <c:v>4.1815206126994764E-3</c:v>
                </c:pt>
                <c:pt idx="25">
                  <c:v>4.1850057303202091E-3</c:v>
                </c:pt>
                <c:pt idx="26">
                  <c:v>4.2050451566394195E-3</c:v>
                </c:pt>
                <c:pt idx="27">
                  <c:v>4.2146292300964342E-3</c:v>
                </c:pt>
                <c:pt idx="28">
                  <c:v>4.3008858912095601E-3</c:v>
                </c:pt>
                <c:pt idx="29">
                  <c:v>4.5448441246608261E-3</c:v>
                </c:pt>
                <c:pt idx="30">
                  <c:v>4.56836866860077E-3</c:v>
                </c:pt>
                <c:pt idx="31">
                  <c:v>4.6642094031709106E-3</c:v>
                </c:pt>
                <c:pt idx="32">
                  <c:v>4.6668232413864599E-3</c:v>
                </c:pt>
                <c:pt idx="33">
                  <c:v>4.7931587551380082E-3</c:v>
                </c:pt>
                <c:pt idx="34">
                  <c:v>4.7957725933535575E-3</c:v>
                </c:pt>
                <c:pt idx="35">
                  <c:v>4.8123269020520359E-3</c:v>
                </c:pt>
                <c:pt idx="36">
                  <c:v>4.901197401380712E-3</c:v>
                </c:pt>
                <c:pt idx="37">
                  <c:v>4.9081676366221766E-3</c:v>
                </c:pt>
                <c:pt idx="38">
                  <c:v>4.924721945320655E-3</c:v>
                </c:pt>
                <c:pt idx="39">
                  <c:v>4.9316921805621205E-3</c:v>
                </c:pt>
                <c:pt idx="40">
                  <c:v>4.9316921805621205E-3</c:v>
                </c:pt>
                <c:pt idx="41">
                  <c:v>5.0266616357270769E-3</c:v>
                </c:pt>
                <c:pt idx="42">
                  <c:v>5.0301467533478096E-3</c:v>
                </c:pt>
                <c:pt idx="43">
                  <c:v>5.0301467533478096E-3</c:v>
                </c:pt>
                <c:pt idx="44">
                  <c:v>5.3817079933391881E-3</c:v>
                </c:pt>
                <c:pt idx="45">
                  <c:v>5.3873713094728781E-3</c:v>
                </c:pt>
                <c:pt idx="46">
                  <c:v>5.3873713094728781E-3</c:v>
                </c:pt>
                <c:pt idx="47">
                  <c:v>5.3886782285806527E-3</c:v>
                </c:pt>
                <c:pt idx="48">
                  <c:v>5.4004405005506247E-3</c:v>
                </c:pt>
                <c:pt idx="49">
                  <c:v>5.4100245740076386E-3</c:v>
                </c:pt>
                <c:pt idx="50">
                  <c:v>5.4239650444905677E-3</c:v>
                </c:pt>
                <c:pt idx="51">
                  <c:v>5.5128355438192438E-3</c:v>
                </c:pt>
                <c:pt idx="52">
                  <c:v>5.5293898525177222E-3</c:v>
                </c:pt>
                <c:pt idx="53">
                  <c:v>5.5337462495436375E-3</c:v>
                </c:pt>
                <c:pt idx="54">
                  <c:v>5.6252305870878629E-3</c:v>
                </c:pt>
                <c:pt idx="55">
                  <c:v>5.6487551310278059E-3</c:v>
                </c:pt>
                <c:pt idx="56">
                  <c:v>5.6487551310278059E-3</c:v>
                </c:pt>
                <c:pt idx="57">
                  <c:v>5.7707342477534389E-3</c:v>
                </c:pt>
                <c:pt idx="58">
                  <c:v>5.8735452175650441E-3</c:v>
                </c:pt>
                <c:pt idx="59">
                  <c:v>6.019048878230621E-3</c:v>
                </c:pt>
                <c:pt idx="60">
                  <c:v>6.3422935375535491E-3</c:v>
                </c:pt>
                <c:pt idx="61">
                  <c:v>6.3562340080364783E-3</c:v>
                </c:pt>
                <c:pt idx="62">
                  <c:v>6.3562340080364783E-3</c:v>
                </c:pt>
                <c:pt idx="63">
                  <c:v>6.3632042432779428E-3</c:v>
                </c:pt>
                <c:pt idx="64">
                  <c:v>6.3632042432779428E-3</c:v>
                </c:pt>
                <c:pt idx="65">
                  <c:v>6.511321742159069E-3</c:v>
                </c:pt>
                <c:pt idx="66">
                  <c:v>6.6001922414877442E-3</c:v>
                </c:pt>
                <c:pt idx="67">
                  <c:v>6.7265277552392925E-3</c:v>
                </c:pt>
                <c:pt idx="68">
                  <c:v>6.7430820639377718E-3</c:v>
                </c:pt>
                <c:pt idx="69">
                  <c:v>6.7430820639377718E-3</c:v>
                </c:pt>
                <c:pt idx="70">
                  <c:v>6.7456959021533211E-3</c:v>
                </c:pt>
                <c:pt idx="71">
                  <c:v>6.8345664014819963E-3</c:v>
                </c:pt>
                <c:pt idx="72">
                  <c:v>6.8389227985079116E-3</c:v>
                </c:pt>
                <c:pt idx="73">
                  <c:v>7.0035946060875171E-3</c:v>
                </c:pt>
                <c:pt idx="74">
                  <c:v>7.0663267232606991E-3</c:v>
                </c:pt>
                <c:pt idx="75">
                  <c:v>7.0663267232606991E-3</c:v>
                </c:pt>
                <c:pt idx="76">
                  <c:v>7.0663267232606991E-3</c:v>
                </c:pt>
                <c:pt idx="77">
                  <c:v>7.0663267232606991E-3</c:v>
                </c:pt>
                <c:pt idx="78">
                  <c:v>7.0663267232606991E-3</c:v>
                </c:pt>
                <c:pt idx="79">
                  <c:v>7.0663267232606991E-3</c:v>
                </c:pt>
                <c:pt idx="80">
                  <c:v>7.3146413537378812E-3</c:v>
                </c:pt>
                <c:pt idx="81">
                  <c:v>7.3407797358933744E-3</c:v>
                </c:pt>
                <c:pt idx="82">
                  <c:v>7.4601450144034572E-3</c:v>
                </c:pt>
                <c:pt idx="83">
                  <c:v>7.9358635696334268E-3</c:v>
                </c:pt>
                <c:pt idx="84">
                  <c:v>8.0552288481435114E-3</c:v>
                </c:pt>
                <c:pt idx="85">
                  <c:v>8.1780792442743278E-3</c:v>
                </c:pt>
                <c:pt idx="86">
                  <c:v>8.1850494795157915E-3</c:v>
                </c:pt>
                <c:pt idx="87">
                  <c:v>8.4098395660530297E-3</c:v>
                </c:pt>
                <c:pt idx="88">
                  <c:v>8.7818758720662107E-3</c:v>
                </c:pt>
                <c:pt idx="89">
                  <c:v>8.7914599455232254E-3</c:v>
                </c:pt>
                <c:pt idx="90">
                  <c:v>8.7914599455232254E-3</c:v>
                </c:pt>
                <c:pt idx="91">
                  <c:v>9.0162500320604636E-3</c:v>
                </c:pt>
                <c:pt idx="92">
                  <c:v>9.2575944272961803E-3</c:v>
                </c:pt>
                <c:pt idx="93">
                  <c:v>9.1661100897519558E-3</c:v>
                </c:pt>
                <c:pt idx="94">
                  <c:v>9.1617536927260396E-3</c:v>
                </c:pt>
                <c:pt idx="95">
                  <c:v>9.1521696192690266E-3</c:v>
                </c:pt>
                <c:pt idx="96">
                  <c:v>9.1678526485623208E-3</c:v>
                </c:pt>
                <c:pt idx="97">
                  <c:v>9.2802476918309399E-3</c:v>
                </c:pt>
                <c:pt idx="98">
                  <c:v>9.5242059252822059E-3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36-4B26-9B9B-F3EEF5536BA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-6235</c:v>
                </c:pt>
                <c:pt idx="1">
                  <c:v>-4442</c:v>
                </c:pt>
                <c:pt idx="2">
                  <c:v>-4434</c:v>
                </c:pt>
                <c:pt idx="3">
                  <c:v>-4429</c:v>
                </c:pt>
                <c:pt idx="4">
                  <c:v>-4426</c:v>
                </c:pt>
                <c:pt idx="5">
                  <c:v>-4423</c:v>
                </c:pt>
                <c:pt idx="6">
                  <c:v>-4420</c:v>
                </c:pt>
                <c:pt idx="7">
                  <c:v>-4415</c:v>
                </c:pt>
                <c:pt idx="8">
                  <c:v>-4169</c:v>
                </c:pt>
                <c:pt idx="9">
                  <c:v>-4163</c:v>
                </c:pt>
                <c:pt idx="10">
                  <c:v>-4158</c:v>
                </c:pt>
                <c:pt idx="11">
                  <c:v>-4155</c:v>
                </c:pt>
                <c:pt idx="12">
                  <c:v>-3180.5</c:v>
                </c:pt>
                <c:pt idx="13">
                  <c:v>-3042</c:v>
                </c:pt>
                <c:pt idx="14">
                  <c:v>-2771</c:v>
                </c:pt>
                <c:pt idx="15">
                  <c:v>-2764</c:v>
                </c:pt>
                <c:pt idx="16">
                  <c:v>-2374</c:v>
                </c:pt>
                <c:pt idx="17">
                  <c:v>-2008</c:v>
                </c:pt>
                <c:pt idx="18">
                  <c:v>-1941</c:v>
                </c:pt>
                <c:pt idx="19">
                  <c:v>-1938.5</c:v>
                </c:pt>
                <c:pt idx="20">
                  <c:v>-1670</c:v>
                </c:pt>
                <c:pt idx="21">
                  <c:v>-1523.5</c:v>
                </c:pt>
                <c:pt idx="22">
                  <c:v>-1513</c:v>
                </c:pt>
                <c:pt idx="23">
                  <c:v>-1388</c:v>
                </c:pt>
                <c:pt idx="24">
                  <c:v>-1384</c:v>
                </c:pt>
                <c:pt idx="25">
                  <c:v>-1380</c:v>
                </c:pt>
                <c:pt idx="26">
                  <c:v>-1357</c:v>
                </c:pt>
                <c:pt idx="27">
                  <c:v>-1346</c:v>
                </c:pt>
                <c:pt idx="28">
                  <c:v>-1247</c:v>
                </c:pt>
                <c:pt idx="29">
                  <c:v>-967</c:v>
                </c:pt>
                <c:pt idx="30">
                  <c:v>-940</c:v>
                </c:pt>
                <c:pt idx="31">
                  <c:v>-830</c:v>
                </c:pt>
                <c:pt idx="32">
                  <c:v>-827</c:v>
                </c:pt>
                <c:pt idx="33">
                  <c:v>-682</c:v>
                </c:pt>
                <c:pt idx="34">
                  <c:v>-679</c:v>
                </c:pt>
                <c:pt idx="35">
                  <c:v>-660</c:v>
                </c:pt>
                <c:pt idx="36">
                  <c:v>-558</c:v>
                </c:pt>
                <c:pt idx="37">
                  <c:v>-550</c:v>
                </c:pt>
                <c:pt idx="38">
                  <c:v>-531</c:v>
                </c:pt>
                <c:pt idx="39">
                  <c:v>-523</c:v>
                </c:pt>
                <c:pt idx="40">
                  <c:v>-523</c:v>
                </c:pt>
                <c:pt idx="41">
                  <c:v>-414</c:v>
                </c:pt>
                <c:pt idx="42">
                  <c:v>-410</c:v>
                </c:pt>
                <c:pt idx="43">
                  <c:v>-410</c:v>
                </c:pt>
                <c:pt idx="44">
                  <c:v>-6.5</c:v>
                </c:pt>
                <c:pt idx="45">
                  <c:v>0</c:v>
                </c:pt>
                <c:pt idx="46">
                  <c:v>0</c:v>
                </c:pt>
                <c:pt idx="47">
                  <c:v>1.5</c:v>
                </c:pt>
                <c:pt idx="48">
                  <c:v>15</c:v>
                </c:pt>
                <c:pt idx="49">
                  <c:v>26</c:v>
                </c:pt>
                <c:pt idx="50">
                  <c:v>42</c:v>
                </c:pt>
                <c:pt idx="51">
                  <c:v>144</c:v>
                </c:pt>
                <c:pt idx="52">
                  <c:v>163</c:v>
                </c:pt>
                <c:pt idx="53">
                  <c:v>168</c:v>
                </c:pt>
                <c:pt idx="54">
                  <c:v>273</c:v>
                </c:pt>
                <c:pt idx="55">
                  <c:v>300</c:v>
                </c:pt>
                <c:pt idx="56">
                  <c:v>300</c:v>
                </c:pt>
                <c:pt idx="57">
                  <c:v>440</c:v>
                </c:pt>
                <c:pt idx="58">
                  <c:v>558</c:v>
                </c:pt>
                <c:pt idx="59">
                  <c:v>725</c:v>
                </c:pt>
                <c:pt idx="60">
                  <c:v>1096</c:v>
                </c:pt>
                <c:pt idx="61">
                  <c:v>1112</c:v>
                </c:pt>
                <c:pt idx="62">
                  <c:v>1112</c:v>
                </c:pt>
                <c:pt idx="63">
                  <c:v>1120</c:v>
                </c:pt>
                <c:pt idx="64">
                  <c:v>1120</c:v>
                </c:pt>
                <c:pt idx="65">
                  <c:v>1290</c:v>
                </c:pt>
                <c:pt idx="66">
                  <c:v>1392</c:v>
                </c:pt>
                <c:pt idx="67">
                  <c:v>1537</c:v>
                </c:pt>
                <c:pt idx="68">
                  <c:v>1556</c:v>
                </c:pt>
                <c:pt idx="69">
                  <c:v>1556</c:v>
                </c:pt>
                <c:pt idx="70">
                  <c:v>1559</c:v>
                </c:pt>
                <c:pt idx="71">
                  <c:v>1661</c:v>
                </c:pt>
                <c:pt idx="72">
                  <c:v>1666</c:v>
                </c:pt>
                <c:pt idx="73">
                  <c:v>1855</c:v>
                </c:pt>
                <c:pt idx="74">
                  <c:v>1927</c:v>
                </c:pt>
                <c:pt idx="75">
                  <c:v>1927</c:v>
                </c:pt>
                <c:pt idx="76">
                  <c:v>1927</c:v>
                </c:pt>
                <c:pt idx="77">
                  <c:v>1927</c:v>
                </c:pt>
                <c:pt idx="78">
                  <c:v>1927</c:v>
                </c:pt>
                <c:pt idx="79">
                  <c:v>1927</c:v>
                </c:pt>
                <c:pt idx="80">
                  <c:v>2212</c:v>
                </c:pt>
                <c:pt idx="81">
                  <c:v>2242</c:v>
                </c:pt>
                <c:pt idx="82">
                  <c:v>2379</c:v>
                </c:pt>
                <c:pt idx="83">
                  <c:v>2925</c:v>
                </c:pt>
                <c:pt idx="84">
                  <c:v>3062</c:v>
                </c:pt>
                <c:pt idx="85">
                  <c:v>3203</c:v>
                </c:pt>
                <c:pt idx="86">
                  <c:v>3211</c:v>
                </c:pt>
                <c:pt idx="87">
                  <c:v>3469</c:v>
                </c:pt>
                <c:pt idx="88">
                  <c:v>3896</c:v>
                </c:pt>
                <c:pt idx="89">
                  <c:v>3907</c:v>
                </c:pt>
                <c:pt idx="90">
                  <c:v>3907</c:v>
                </c:pt>
                <c:pt idx="91">
                  <c:v>4165</c:v>
                </c:pt>
                <c:pt idx="92">
                  <c:v>4442</c:v>
                </c:pt>
                <c:pt idx="93">
                  <c:v>4337</c:v>
                </c:pt>
                <c:pt idx="94">
                  <c:v>4332</c:v>
                </c:pt>
                <c:pt idx="95">
                  <c:v>4321</c:v>
                </c:pt>
                <c:pt idx="96">
                  <c:v>4339</c:v>
                </c:pt>
                <c:pt idx="97">
                  <c:v>4468</c:v>
                </c:pt>
                <c:pt idx="98">
                  <c:v>4748</c:v>
                </c:pt>
              </c:numCache>
            </c:numRef>
          </c:xVal>
          <c:yVal>
            <c:numRef>
              <c:f>Active!$U$21:$U$119</c:f>
              <c:numCache>
                <c:formatCode>General</c:formatCode>
                <c:ptCount val="99"/>
                <c:pt idx="12">
                  <c:v>-0.49824148500192678</c:v>
                </c:pt>
                <c:pt idx="13">
                  <c:v>0.57608766000339529</c:v>
                </c:pt>
                <c:pt idx="14">
                  <c:v>0.19903132999752415</c:v>
                </c:pt>
                <c:pt idx="19">
                  <c:v>0.30368485499639064</c:v>
                </c:pt>
                <c:pt idx="21">
                  <c:v>-0.313220595002349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36-4B26-9B9B-F3EEF5536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096896"/>
        <c:axId val="1"/>
      </c:scatterChart>
      <c:valAx>
        <c:axId val="6460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35505371728107"/>
              <c:y val="0.8628845105219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631709953042096E-2"/>
              <c:y val="0.371666584830715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096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93321961010254"/>
          <c:y val="0.93399036833930738"/>
          <c:w val="0.8453427065026362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190500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D27E97A-D612-3059-23F6-7E1E0E0C3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0</xdr:rowOff>
    </xdr:from>
    <xdr:to>
      <xdr:col>27</xdr:col>
      <xdr:colOff>95250</xdr:colOff>
      <xdr:row>18</xdr:row>
      <xdr:rowOff>85724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4677A26-E58B-6EBA-8944-1B35573A7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762" TargetMode="External"/><Relationship Id="rId13" Type="http://schemas.openxmlformats.org/officeDocument/2006/relationships/hyperlink" Target="http://www.bav-astro.de/sfs/BAVM_link.php?BAVMnr=15" TargetMode="External"/><Relationship Id="rId18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konkoly.hu/cgi-bin/IBVS?2545" TargetMode="External"/><Relationship Id="rId21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43" TargetMode="External"/><Relationship Id="rId12" Type="http://schemas.openxmlformats.org/officeDocument/2006/relationships/hyperlink" Target="http://var.astro.cz/oejv/issues/oejv0142.pdf" TargetMode="External"/><Relationship Id="rId17" Type="http://schemas.openxmlformats.org/officeDocument/2006/relationships/hyperlink" Target="http://www.bav-astro.de/sfs/BAVM_link.php?BAVMnr=179" TargetMode="External"/><Relationship Id="rId2" Type="http://schemas.openxmlformats.org/officeDocument/2006/relationships/hyperlink" Target="http://www.konkoly.hu/cgi-bin/IBVS?740" TargetMode="External"/><Relationship Id="rId16" Type="http://schemas.openxmlformats.org/officeDocument/2006/relationships/hyperlink" Target="http://www.bav-astro.de/sfs/BAVM_link.php?BAVMnr=143" TargetMode="External"/><Relationship Id="rId20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konkoly.hu/cgi-bin/IBVS?844" TargetMode="External"/><Relationship Id="rId6" Type="http://schemas.openxmlformats.org/officeDocument/2006/relationships/hyperlink" Target="http://www.konkoly.hu/cgi-bin/IBVS?2545" TargetMode="External"/><Relationship Id="rId11" Type="http://schemas.openxmlformats.org/officeDocument/2006/relationships/hyperlink" Target="http://var.astro.cz/oejv/issues/oejv0142.pdf" TargetMode="External"/><Relationship Id="rId5" Type="http://schemas.openxmlformats.org/officeDocument/2006/relationships/hyperlink" Target="http://www.konkoly.hu/cgi-bin/IBVS?2545" TargetMode="External"/><Relationship Id="rId15" Type="http://schemas.openxmlformats.org/officeDocument/2006/relationships/hyperlink" Target="http://www.bav-astro.de/sfs/BAVM_link.php?BAVMnr=131" TargetMode="External"/><Relationship Id="rId10" Type="http://schemas.openxmlformats.org/officeDocument/2006/relationships/hyperlink" Target="http://www.bav-astro.de/sfs/BAVM_link.php?BAVMnr=174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2545" TargetMode="External"/><Relationship Id="rId9" Type="http://schemas.openxmlformats.org/officeDocument/2006/relationships/hyperlink" Target="http://www.konkoly.hu/cgi-bin/IBVS?3762" TargetMode="External"/><Relationship Id="rId14" Type="http://schemas.openxmlformats.org/officeDocument/2006/relationships/hyperlink" Target="http://www.bav-astro.de/sfs/BAVM_link.php?BAVMnr=26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9"/>
  <sheetViews>
    <sheetView tabSelected="1" zoomScaleNormal="100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3" spans="1:6">
      <c r="C3" s="4" t="s">
        <v>3</v>
      </c>
    </row>
    <row r="4" spans="1:6">
      <c r="A4" s="5" t="s">
        <v>4</v>
      </c>
      <c r="C4" s="6">
        <v>45563.891600000003</v>
      </c>
      <c r="D4" s="7">
        <v>2.6282142300000002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">
        <f>+C4</f>
        <v>45563.891600000003</v>
      </c>
    </row>
    <row r="8" spans="1:6">
      <c r="A8" s="1" t="s">
        <v>9</v>
      </c>
      <c r="C8" s="1">
        <f>+D4</f>
        <v>2.6282142300000002</v>
      </c>
    </row>
    <row r="9" spans="1:6">
      <c r="A9" s="10" t="s">
        <v>10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INTERCEPT(INDIRECT($D$9):G990,INDIRECT($C$9):F990)</f>
        <v>5.3873713094728781E-3</v>
      </c>
      <c r="D11" s="16"/>
      <c r="E11"/>
    </row>
    <row r="12" spans="1:6">
      <c r="A12" t="s">
        <v>14</v>
      </c>
      <c r="B12"/>
      <c r="C12" s="15">
        <f ca="1">SLOPE(INDIRECT($D$9):G990,INDIRECT($C$9):F990)</f>
        <v>8.7127940518309365E-7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(C7+C11)+(C8+C12)*INT(MAX(F21:F3531))</f>
        <v>58042.662288245934</v>
      </c>
      <c r="E15" s="19" t="s">
        <v>18</v>
      </c>
      <c r="F15" s="9">
        <v>1</v>
      </c>
    </row>
    <row r="16" spans="1:6">
      <c r="A16" s="17" t="s">
        <v>19</v>
      </c>
      <c r="B16"/>
      <c r="C16" s="18">
        <f ca="1">+C8+C12</f>
        <v>2.6282151012794053</v>
      </c>
      <c r="E16" s="19" t="s">
        <v>20</v>
      </c>
      <c r="F16" s="15">
        <f ca="1">NOW()+15018.5+$C$5/24</f>
        <v>60371.727394907408</v>
      </c>
    </row>
    <row r="17" spans="1:21">
      <c r="A17" s="19" t="s">
        <v>21</v>
      </c>
      <c r="B17"/>
      <c r="C17">
        <f>COUNT(C21:C2189)</f>
        <v>99</v>
      </c>
      <c r="E17" s="19" t="s">
        <v>22</v>
      </c>
      <c r="F17" s="15">
        <f ca="1">ROUND(2*(F16-$C$7)/$C$8,0)/2+F15</f>
        <v>5635</v>
      </c>
    </row>
    <row r="18" spans="1:21">
      <c r="A18" s="17" t="s">
        <v>23</v>
      </c>
      <c r="B18"/>
      <c r="C18" s="20">
        <f ca="1">+C15</f>
        <v>58042.662288245934</v>
      </c>
      <c r="D18" s="21">
        <f ca="1">+C16</f>
        <v>2.6282151012794053</v>
      </c>
      <c r="E18" s="19" t="s">
        <v>24</v>
      </c>
      <c r="F18" s="13">
        <f ca="1">ROUND(2*(F16-$C$15)/$C$16,0)/2+F15</f>
        <v>887</v>
      </c>
    </row>
    <row r="19" spans="1:21">
      <c r="E19" s="19" t="s">
        <v>25</v>
      </c>
      <c r="F19" s="22">
        <f ca="1">+$C$15+$C$16*F18-15018.5-$C$5/24</f>
        <v>45355.784916414101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4" t="s">
        <v>42</v>
      </c>
      <c r="U20" s="24" t="s">
        <v>43</v>
      </c>
    </row>
    <row r="21" spans="1:21">
      <c r="A21" s="25" t="s">
        <v>44</v>
      </c>
      <c r="B21" s="26" t="s">
        <v>45</v>
      </c>
      <c r="C21" s="27">
        <v>29176.986000000001</v>
      </c>
      <c r="D21" s="28"/>
      <c r="E21" s="29">
        <f t="shared" ref="E21:E52" si="0">+(C21-C$7)/C$8</f>
        <v>-6234.9961479357798</v>
      </c>
      <c r="F21" s="1">
        <f t="shared" ref="F21:F52" si="1">ROUND(2*E21,0)/2</f>
        <v>-6235</v>
      </c>
      <c r="G21" s="1">
        <f t="shared" ref="G21:G32" si="2">+C21-(C$7+F21*C$8)</f>
        <v>1.0124050000740681E-2</v>
      </c>
      <c r="H21" s="1">
        <f t="shared" ref="H21:H32" si="3">+G21</f>
        <v>1.0124050000740681E-2</v>
      </c>
      <c r="O21" s="1">
        <f t="shared" ref="O21:O52" ca="1" si="4">+C$11+C$12*$F21</f>
        <v>-4.5055781843710875E-5</v>
      </c>
      <c r="Q21" s="63">
        <f t="shared" ref="Q21:Q52" si="5">+C21-15018.5</f>
        <v>14158.486000000001</v>
      </c>
    </row>
    <row r="22" spans="1:21">
      <c r="A22" s="25" t="s">
        <v>46</v>
      </c>
      <c r="B22" s="26" t="s">
        <v>45</v>
      </c>
      <c r="C22" s="27">
        <v>33889.394</v>
      </c>
      <c r="D22" s="28"/>
      <c r="E22" s="29">
        <f t="shared" si="0"/>
        <v>-4441.9885817298846</v>
      </c>
      <c r="F22" s="1">
        <f t="shared" si="1"/>
        <v>-4442</v>
      </c>
      <c r="G22" s="1">
        <f t="shared" si="2"/>
        <v>3.0009659996721894E-2</v>
      </c>
      <c r="H22" s="1">
        <f t="shared" si="3"/>
        <v>3.0009659996721894E-2</v>
      </c>
      <c r="O22" s="1">
        <f t="shared" ca="1" si="4"/>
        <v>1.5171481916495763E-3</v>
      </c>
      <c r="Q22" s="63">
        <f t="shared" si="5"/>
        <v>18870.894</v>
      </c>
    </row>
    <row r="23" spans="1:21">
      <c r="A23" s="25" t="s">
        <v>46</v>
      </c>
      <c r="B23" s="26" t="s">
        <v>45</v>
      </c>
      <c r="C23" s="27">
        <v>33910.400000000001</v>
      </c>
      <c r="D23" s="30"/>
      <c r="E23" s="29">
        <f t="shared" si="0"/>
        <v>-4433.9960825796152</v>
      </c>
      <c r="F23" s="1">
        <f t="shared" si="1"/>
        <v>-4434</v>
      </c>
      <c r="G23" s="1">
        <f t="shared" si="2"/>
        <v>1.0295820000465028E-2</v>
      </c>
      <c r="H23" s="1">
        <f t="shared" si="3"/>
        <v>1.0295820000465028E-2</v>
      </c>
      <c r="O23" s="1">
        <f t="shared" ca="1" si="4"/>
        <v>1.5241184268910408E-3</v>
      </c>
      <c r="Q23" s="63">
        <f t="shared" si="5"/>
        <v>18891.900000000001</v>
      </c>
    </row>
    <row r="24" spans="1:21">
      <c r="A24" s="25" t="s">
        <v>46</v>
      </c>
      <c r="B24" s="26" t="s">
        <v>45</v>
      </c>
      <c r="C24" s="27">
        <v>33923.536999999997</v>
      </c>
      <c r="D24" s="30"/>
      <c r="E24" s="29">
        <f t="shared" si="0"/>
        <v>-4428.9976315971799</v>
      </c>
      <c r="F24" s="1">
        <f t="shared" si="1"/>
        <v>-4429</v>
      </c>
      <c r="G24" s="1">
        <f t="shared" si="2"/>
        <v>6.2246699962997809E-3</v>
      </c>
      <c r="H24" s="1">
        <f t="shared" si="3"/>
        <v>6.2246699962997809E-3</v>
      </c>
      <c r="O24" s="1">
        <f t="shared" ca="1" si="4"/>
        <v>1.5284748239169561E-3</v>
      </c>
      <c r="Q24" s="63">
        <f t="shared" si="5"/>
        <v>18905.036999999997</v>
      </c>
    </row>
    <row r="25" spans="1:21">
      <c r="A25" s="25" t="s">
        <v>46</v>
      </c>
      <c r="B25" s="26" t="s">
        <v>45</v>
      </c>
      <c r="C25" s="27">
        <v>33931.417000000001</v>
      </c>
      <c r="D25" s="30"/>
      <c r="E25" s="29">
        <f t="shared" si="0"/>
        <v>-4425.9993980779873</v>
      </c>
      <c r="F25" s="1">
        <f t="shared" si="1"/>
        <v>-4426</v>
      </c>
      <c r="G25" s="1">
        <f t="shared" si="2"/>
        <v>1.5819800028111786E-3</v>
      </c>
      <c r="H25" s="1">
        <f t="shared" si="3"/>
        <v>1.5819800028111786E-3</v>
      </c>
      <c r="O25" s="1">
        <f t="shared" ca="1" si="4"/>
        <v>1.5310886621325054E-3</v>
      </c>
      <c r="Q25" s="63">
        <f t="shared" si="5"/>
        <v>18912.917000000001</v>
      </c>
    </row>
    <row r="26" spans="1:21">
      <c r="A26" s="25" t="s">
        <v>46</v>
      </c>
      <c r="B26" s="26" t="s">
        <v>45</v>
      </c>
      <c r="C26" s="27">
        <v>33939.296999999999</v>
      </c>
      <c r="D26" s="30"/>
      <c r="E26" s="29">
        <f t="shared" si="0"/>
        <v>-4423.0011645587974</v>
      </c>
      <c r="F26" s="1">
        <f t="shared" si="1"/>
        <v>-4423</v>
      </c>
      <c r="G26" s="1">
        <f t="shared" si="2"/>
        <v>-3.060710005229339E-3</v>
      </c>
      <c r="H26" s="1">
        <f t="shared" si="3"/>
        <v>-3.060710005229339E-3</v>
      </c>
      <c r="O26" s="1">
        <f t="shared" ca="1" si="4"/>
        <v>1.5337025003480547E-3</v>
      </c>
      <c r="Q26" s="63">
        <f t="shared" si="5"/>
        <v>18920.796999999999</v>
      </c>
    </row>
    <row r="27" spans="1:21">
      <c r="A27" s="25" t="s">
        <v>46</v>
      </c>
      <c r="B27" s="26" t="s">
        <v>45</v>
      </c>
      <c r="C27" s="27">
        <v>33947.175999999999</v>
      </c>
      <c r="D27" s="30"/>
      <c r="E27" s="29">
        <f t="shared" si="0"/>
        <v>-4420.003311526094</v>
      </c>
      <c r="F27" s="1">
        <f t="shared" si="1"/>
        <v>-4420</v>
      </c>
      <c r="G27" s="1">
        <f t="shared" si="2"/>
        <v>-8.703400002559647E-3</v>
      </c>
      <c r="H27" s="1">
        <f t="shared" si="3"/>
        <v>-8.703400002559647E-3</v>
      </c>
      <c r="O27" s="1">
        <f t="shared" ca="1" si="4"/>
        <v>1.536316338563604E-3</v>
      </c>
      <c r="Q27" s="63">
        <f t="shared" si="5"/>
        <v>18928.675999999999</v>
      </c>
    </row>
    <row r="28" spans="1:21">
      <c r="A28" s="25" t="s">
        <v>46</v>
      </c>
      <c r="B28" s="26" t="s">
        <v>45</v>
      </c>
      <c r="C28" s="27">
        <v>33960.315999999999</v>
      </c>
      <c r="D28" s="30"/>
      <c r="E28" s="29">
        <f t="shared" si="0"/>
        <v>-4415.0037190841949</v>
      </c>
      <c r="F28" s="1">
        <f t="shared" si="1"/>
        <v>-4415</v>
      </c>
      <c r="G28" s="1">
        <f t="shared" si="2"/>
        <v>-9.7745500024757348E-3</v>
      </c>
      <c r="H28" s="1">
        <f t="shared" si="3"/>
        <v>-9.7745500024757348E-3</v>
      </c>
      <c r="O28" s="1">
        <f t="shared" ca="1" si="4"/>
        <v>1.5406727355895197E-3</v>
      </c>
      <c r="Q28" s="63">
        <f t="shared" si="5"/>
        <v>18941.815999999999</v>
      </c>
    </row>
    <row r="29" spans="1:21">
      <c r="A29" s="25" t="s">
        <v>47</v>
      </c>
      <c r="B29" s="26" t="s">
        <v>45</v>
      </c>
      <c r="C29" s="27">
        <v>34606.862999999998</v>
      </c>
      <c r="D29" s="30"/>
      <c r="E29" s="29">
        <f t="shared" si="0"/>
        <v>-4169.0013222400075</v>
      </c>
      <c r="F29" s="1">
        <f t="shared" si="1"/>
        <v>-4169</v>
      </c>
      <c r="G29" s="1">
        <f t="shared" si="2"/>
        <v>-3.4751300045172684E-3</v>
      </c>
      <c r="H29" s="1">
        <f t="shared" si="3"/>
        <v>-3.4751300045172684E-3</v>
      </c>
      <c r="O29" s="1">
        <f t="shared" ca="1" si="4"/>
        <v>1.7550074692645606E-3</v>
      </c>
      <c r="Q29" s="63">
        <f t="shared" si="5"/>
        <v>19588.362999999998</v>
      </c>
    </row>
    <row r="30" spans="1:21">
      <c r="A30" s="25" t="s">
        <v>47</v>
      </c>
      <c r="B30" s="26" t="s">
        <v>45</v>
      </c>
      <c r="C30" s="27">
        <v>34622.633000000002</v>
      </c>
      <c r="D30" s="30"/>
      <c r="E30" s="29">
        <f t="shared" si="0"/>
        <v>-4163.001050336753</v>
      </c>
      <c r="F30" s="1">
        <f t="shared" si="1"/>
        <v>-4163</v>
      </c>
      <c r="G30" s="1">
        <f t="shared" si="2"/>
        <v>-2.7605100040091202E-3</v>
      </c>
      <c r="H30" s="1">
        <f t="shared" si="3"/>
        <v>-2.7605100040091202E-3</v>
      </c>
      <c r="O30" s="1">
        <f t="shared" ca="1" si="4"/>
        <v>1.7602351456956593E-3</v>
      </c>
      <c r="Q30" s="63">
        <f t="shared" si="5"/>
        <v>19604.133000000002</v>
      </c>
    </row>
    <row r="31" spans="1:21">
      <c r="A31" s="25" t="s">
        <v>47</v>
      </c>
      <c r="B31" s="26" t="s">
        <v>45</v>
      </c>
      <c r="C31" s="27">
        <v>34635.769999999997</v>
      </c>
      <c r="D31" s="30"/>
      <c r="E31" s="29">
        <f t="shared" si="0"/>
        <v>-4158.0025993543168</v>
      </c>
      <c r="F31" s="1">
        <f t="shared" si="1"/>
        <v>-4158</v>
      </c>
      <c r="G31" s="1">
        <f t="shared" si="2"/>
        <v>-6.8316600008984096E-3</v>
      </c>
      <c r="H31" s="1">
        <f t="shared" si="3"/>
        <v>-6.8316600008984096E-3</v>
      </c>
      <c r="O31" s="1">
        <f t="shared" ca="1" si="4"/>
        <v>1.7645915427215745E-3</v>
      </c>
      <c r="Q31" s="63">
        <f t="shared" si="5"/>
        <v>19617.269999999997</v>
      </c>
    </row>
    <row r="32" spans="1:21">
      <c r="A32" s="25" t="s">
        <v>47</v>
      </c>
      <c r="B32" s="26" t="s">
        <v>45</v>
      </c>
      <c r="C32" s="27">
        <v>34643.656000000003</v>
      </c>
      <c r="D32" s="30"/>
      <c r="E32" s="29">
        <f t="shared" si="0"/>
        <v>-4155.0020829162013</v>
      </c>
      <c r="F32" s="1">
        <f t="shared" si="1"/>
        <v>-4155</v>
      </c>
      <c r="G32" s="1">
        <f t="shared" si="2"/>
        <v>-5.4743500004406087E-3</v>
      </c>
      <c r="H32" s="1">
        <f t="shared" si="3"/>
        <v>-5.4743500004406087E-3</v>
      </c>
      <c r="O32" s="1">
        <f t="shared" ca="1" si="4"/>
        <v>1.7672053809371239E-3</v>
      </c>
      <c r="Q32" s="63">
        <f t="shared" si="5"/>
        <v>19625.156000000003</v>
      </c>
    </row>
    <row r="33" spans="1:33">
      <c r="A33" s="25" t="s">
        <v>48</v>
      </c>
      <c r="B33" s="26" t="s">
        <v>49</v>
      </c>
      <c r="C33" s="27">
        <v>37204.358</v>
      </c>
      <c r="D33" s="30"/>
      <c r="E33" s="29">
        <f t="shared" si="0"/>
        <v>-3180.689574152409</v>
      </c>
      <c r="F33" s="1">
        <f t="shared" si="1"/>
        <v>-3180.5</v>
      </c>
      <c r="O33" s="1">
        <f t="shared" ca="1" si="4"/>
        <v>2.6162671612880487E-3</v>
      </c>
      <c r="Q33" s="63">
        <f t="shared" si="5"/>
        <v>22185.858</v>
      </c>
      <c r="U33" s="1">
        <f>+C33-(C$7+F33*C$8)</f>
        <v>-0.49824148500192678</v>
      </c>
    </row>
    <row r="34" spans="1:33">
      <c r="A34" s="25" t="s">
        <v>50</v>
      </c>
      <c r="B34" s="26" t="s">
        <v>49</v>
      </c>
      <c r="C34" s="27">
        <v>37569.440000000002</v>
      </c>
      <c r="D34" s="30"/>
      <c r="E34" s="29">
        <f t="shared" si="0"/>
        <v>-3041.7808064299234</v>
      </c>
      <c r="F34" s="1">
        <f t="shared" si="1"/>
        <v>-3042</v>
      </c>
      <c r="O34" s="1">
        <f t="shared" ca="1" si="4"/>
        <v>2.736939358905907E-3</v>
      </c>
      <c r="Q34" s="63">
        <f t="shared" si="5"/>
        <v>22550.940000000002</v>
      </c>
      <c r="U34" s="1">
        <f>+C34-(C$7+F34*C$8)</f>
        <v>0.57608766000339529</v>
      </c>
    </row>
    <row r="35" spans="1:33">
      <c r="A35" s="25" t="s">
        <v>51</v>
      </c>
      <c r="B35" s="26" t="s">
        <v>49</v>
      </c>
      <c r="C35" s="27">
        <v>38281.309000000001</v>
      </c>
      <c r="D35" s="30"/>
      <c r="E35" s="29">
        <f t="shared" si="0"/>
        <v>-2770.9242712684045</v>
      </c>
      <c r="F35" s="1">
        <f t="shared" si="1"/>
        <v>-2771</v>
      </c>
      <c r="O35" s="1">
        <f t="shared" ca="1" si="4"/>
        <v>2.9730560777105255E-3</v>
      </c>
      <c r="Q35" s="63">
        <f t="shared" si="5"/>
        <v>23262.809000000001</v>
      </c>
      <c r="U35" s="1">
        <f>+C35-(C$7+F35*C$8)</f>
        <v>0.19903132999752415</v>
      </c>
    </row>
    <row r="36" spans="1:33">
      <c r="A36" s="25" t="s">
        <v>52</v>
      </c>
      <c r="B36" s="26" t="s">
        <v>49</v>
      </c>
      <c r="C36" s="27">
        <v>38299.508000000002</v>
      </c>
      <c r="D36" s="30"/>
      <c r="E36" s="29">
        <f t="shared" si="0"/>
        <v>-2763.9997976877253</v>
      </c>
      <c r="F36" s="1">
        <f t="shared" si="1"/>
        <v>-2764</v>
      </c>
      <c r="G36" s="1">
        <f>+C36-(C$7+F36*C$8)</f>
        <v>5.3171999752521515E-4</v>
      </c>
      <c r="H36" s="1">
        <f>+G36</f>
        <v>5.3171999752521515E-4</v>
      </c>
      <c r="O36" s="1">
        <f t="shared" ca="1" si="4"/>
        <v>2.9791550335468071E-3</v>
      </c>
      <c r="Q36" s="63">
        <f t="shared" si="5"/>
        <v>23281.008000000002</v>
      </c>
    </row>
    <row r="37" spans="1:33">
      <c r="A37" s="25" t="s">
        <v>52</v>
      </c>
      <c r="B37" s="26" t="s">
        <v>49</v>
      </c>
      <c r="C37" s="27">
        <v>39324.508999999998</v>
      </c>
      <c r="D37" s="30"/>
      <c r="E37" s="29">
        <f t="shared" si="0"/>
        <v>-2374.0007678141228</v>
      </c>
      <c r="F37" s="1">
        <f t="shared" si="1"/>
        <v>-2374</v>
      </c>
      <c r="G37" s="1">
        <f>+C37-(C$7+F37*C$8)</f>
        <v>-2.0179800048936158E-3</v>
      </c>
      <c r="H37" s="1">
        <f>+G37</f>
        <v>-2.0179800048936158E-3</v>
      </c>
      <c r="O37" s="1">
        <f t="shared" ca="1" si="4"/>
        <v>3.3189540015682137E-3</v>
      </c>
      <c r="Q37" s="63">
        <f t="shared" si="5"/>
        <v>24306.008999999998</v>
      </c>
    </row>
    <row r="38" spans="1:33">
      <c r="A38" s="25" t="s">
        <v>53</v>
      </c>
      <c r="B38" s="26" t="s">
        <v>49</v>
      </c>
      <c r="C38" s="27">
        <v>40286.4329</v>
      </c>
      <c r="D38" s="30"/>
      <c r="E38" s="29">
        <f t="shared" si="0"/>
        <v>-2008.0017221427199</v>
      </c>
      <c r="F38" s="1">
        <f t="shared" si="1"/>
        <v>-2008</v>
      </c>
      <c r="G38" s="1">
        <f>+C38-(C$7+F38*C$8)</f>
        <v>-4.526160002569668E-3</v>
      </c>
      <c r="H38" s="1">
        <f>+G38</f>
        <v>-4.526160002569668E-3</v>
      </c>
      <c r="O38" s="1">
        <f t="shared" ca="1" si="4"/>
        <v>3.6378422638652262E-3</v>
      </c>
      <c r="Q38" s="63">
        <f t="shared" si="5"/>
        <v>25267.9329</v>
      </c>
    </row>
    <row r="39" spans="1:33">
      <c r="A39" s="25" t="s">
        <v>52</v>
      </c>
      <c r="B39" s="26" t="s">
        <v>49</v>
      </c>
      <c r="C39" s="27">
        <v>40462.525999999998</v>
      </c>
      <c r="D39" s="30"/>
      <c r="E39" s="29">
        <f t="shared" si="0"/>
        <v>-1941.0006771023398</v>
      </c>
      <c r="F39" s="1">
        <f t="shared" si="1"/>
        <v>-1941</v>
      </c>
      <c r="G39" s="1">
        <f>+C39-(C$7+F39*C$8)</f>
        <v>-1.7795700041460805E-3</v>
      </c>
      <c r="H39" s="1">
        <f>+G39</f>
        <v>-1.7795700041460805E-3</v>
      </c>
      <c r="O39" s="1">
        <f t="shared" ca="1" si="4"/>
        <v>3.6962179840124934E-3</v>
      </c>
      <c r="Q39" s="63">
        <f t="shared" si="5"/>
        <v>25444.025999999998</v>
      </c>
    </row>
    <row r="40" spans="1:33">
      <c r="A40" s="25" t="s">
        <v>54</v>
      </c>
      <c r="B40" s="26" t="s">
        <v>45</v>
      </c>
      <c r="C40" s="27">
        <v>40469.402000000002</v>
      </c>
      <c r="D40" s="30"/>
      <c r="E40" s="29">
        <f t="shared" si="0"/>
        <v>-1938.3844520163032</v>
      </c>
      <c r="F40" s="1">
        <f t="shared" si="1"/>
        <v>-1938.5</v>
      </c>
      <c r="O40" s="1">
        <f t="shared" ca="1" si="4"/>
        <v>3.698396182525451E-3</v>
      </c>
      <c r="Q40" s="63">
        <f t="shared" si="5"/>
        <v>25450.902000000002</v>
      </c>
      <c r="U40" s="1">
        <f>+C40-(C$7+F40*C$8)</f>
        <v>0.30368485499639064</v>
      </c>
    </row>
    <row r="41" spans="1:33" ht="12.75" customHeight="1">
      <c r="A41" s="1" t="s">
        <v>55</v>
      </c>
      <c r="C41" s="31">
        <v>41174.772599999997</v>
      </c>
      <c r="D41" s="30"/>
      <c r="E41" s="1">
        <f t="shared" si="0"/>
        <v>-1670.0004702432518</v>
      </c>
      <c r="F41" s="1">
        <f t="shared" si="1"/>
        <v>-1670</v>
      </c>
      <c r="G41" s="1">
        <f>+C41-(C$7+F41*C$8)</f>
        <v>-1.2359000029391609E-3</v>
      </c>
      <c r="K41" s="1">
        <f>+G41</f>
        <v>-1.2359000029391609E-3</v>
      </c>
      <c r="O41" s="1">
        <f t="shared" ca="1" si="4"/>
        <v>3.9323347028171118E-3</v>
      </c>
      <c r="Q41" s="63">
        <f t="shared" si="5"/>
        <v>26156.272599999997</v>
      </c>
      <c r="AB41" s="1" t="s">
        <v>56</v>
      </c>
      <c r="AG41" s="1" t="s">
        <v>57</v>
      </c>
    </row>
    <row r="42" spans="1:33" ht="12.75" customHeight="1">
      <c r="A42" s="1" t="s">
        <v>58</v>
      </c>
      <c r="C42" s="31">
        <v>41559.493999999999</v>
      </c>
      <c r="D42" s="30"/>
      <c r="E42" s="1">
        <f t="shared" si="0"/>
        <v>-1523.6191762039139</v>
      </c>
      <c r="F42" s="1">
        <f t="shared" si="1"/>
        <v>-1523.5</v>
      </c>
      <c r="O42" s="1">
        <f t="shared" ca="1" si="4"/>
        <v>4.0599771356764347E-3</v>
      </c>
      <c r="Q42" s="63">
        <f t="shared" si="5"/>
        <v>26540.993999999999</v>
      </c>
      <c r="U42" s="1">
        <f>+C42-(C$7+F42*C$8)</f>
        <v>-0.313220595002349</v>
      </c>
      <c r="AB42" s="1" t="s">
        <v>59</v>
      </c>
      <c r="AG42" s="1" t="s">
        <v>57</v>
      </c>
    </row>
    <row r="43" spans="1:33">
      <c r="A43" s="25" t="s">
        <v>60</v>
      </c>
      <c r="B43" s="26" t="s">
        <v>49</v>
      </c>
      <c r="C43" s="27">
        <v>41587.366000000002</v>
      </c>
      <c r="D43" s="30"/>
      <c r="E43" s="29">
        <f t="shared" si="0"/>
        <v>-1513.0142568324807</v>
      </c>
      <c r="F43" s="1">
        <f t="shared" si="1"/>
        <v>-1513</v>
      </c>
      <c r="G43" s="1">
        <f t="shared" ref="G43:G74" si="6">+C43-(C$7+F43*C$8)</f>
        <v>-3.7470010000106413E-2</v>
      </c>
      <c r="I43" s="1">
        <f t="shared" ref="I43:I50" si="7">+G43</f>
        <v>-3.7470010000106413E-2</v>
      </c>
      <c r="O43" s="1">
        <f t="shared" ca="1" si="4"/>
        <v>4.0691255694308573E-3</v>
      </c>
      <c r="Q43" s="63">
        <f t="shared" si="5"/>
        <v>26568.866000000002</v>
      </c>
    </row>
    <row r="44" spans="1:33">
      <c r="A44" s="25" t="s">
        <v>61</v>
      </c>
      <c r="B44" s="26" t="s">
        <v>49</v>
      </c>
      <c r="C44" s="27">
        <v>41915.938999999998</v>
      </c>
      <c r="D44" s="30"/>
      <c r="E44" s="29">
        <f t="shared" si="0"/>
        <v>-1387.9966702714353</v>
      </c>
      <c r="F44" s="1">
        <f t="shared" si="1"/>
        <v>-1388</v>
      </c>
      <c r="G44" s="1">
        <f t="shared" si="6"/>
        <v>8.7512399986735545E-3</v>
      </c>
      <c r="I44" s="1">
        <f t="shared" si="7"/>
        <v>8.7512399986735545E-3</v>
      </c>
      <c r="O44" s="1">
        <f t="shared" ca="1" si="4"/>
        <v>4.1780354950787437E-3</v>
      </c>
      <c r="Q44" s="63">
        <f t="shared" si="5"/>
        <v>26897.438999999998</v>
      </c>
    </row>
    <row r="45" spans="1:33">
      <c r="A45" s="25" t="s">
        <v>61</v>
      </c>
      <c r="B45" s="26" t="s">
        <v>49</v>
      </c>
      <c r="C45" s="27">
        <v>41926.440999999999</v>
      </c>
      <c r="D45" s="30"/>
      <c r="E45" s="29">
        <f t="shared" si="0"/>
        <v>-1384.0008011827877</v>
      </c>
      <c r="F45" s="1">
        <f t="shared" si="1"/>
        <v>-1384</v>
      </c>
      <c r="G45" s="1">
        <f t="shared" si="6"/>
        <v>-2.1056800032965839E-3</v>
      </c>
      <c r="I45" s="1">
        <f t="shared" si="7"/>
        <v>-2.1056800032965839E-3</v>
      </c>
      <c r="O45" s="1">
        <f t="shared" ca="1" si="4"/>
        <v>4.1815206126994764E-3</v>
      </c>
      <c r="Q45" s="63">
        <f t="shared" si="5"/>
        <v>26907.940999999999</v>
      </c>
    </row>
    <row r="46" spans="1:33">
      <c r="A46" s="25" t="s">
        <v>61</v>
      </c>
      <c r="B46" s="26" t="s">
        <v>49</v>
      </c>
      <c r="C46" s="27">
        <v>41936.955999999998</v>
      </c>
      <c r="D46" s="30"/>
      <c r="E46" s="29">
        <f t="shared" si="0"/>
        <v>-1379.9999857698069</v>
      </c>
      <c r="F46" s="1">
        <f t="shared" si="1"/>
        <v>-1380</v>
      </c>
      <c r="G46" s="1">
        <f t="shared" si="6"/>
        <v>3.7399993743747473E-5</v>
      </c>
      <c r="I46" s="1">
        <f t="shared" si="7"/>
        <v>3.7399993743747473E-5</v>
      </c>
      <c r="O46" s="1">
        <f t="shared" ca="1" si="4"/>
        <v>4.1850057303202091E-3</v>
      </c>
      <c r="Q46" s="63">
        <f t="shared" si="5"/>
        <v>26918.455999999998</v>
      </c>
    </row>
    <row r="47" spans="1:33">
      <c r="A47" s="25" t="s">
        <v>61</v>
      </c>
      <c r="B47" s="26" t="s">
        <v>49</v>
      </c>
      <c r="C47" s="27">
        <v>41997.383000000002</v>
      </c>
      <c r="D47" s="30"/>
      <c r="E47" s="29">
        <f t="shared" si="0"/>
        <v>-1357.0083288073517</v>
      </c>
      <c r="F47" s="1">
        <f t="shared" si="1"/>
        <v>-1357</v>
      </c>
      <c r="G47" s="1">
        <f t="shared" si="6"/>
        <v>-2.1889889998419676E-2</v>
      </c>
      <c r="I47" s="1">
        <f t="shared" si="7"/>
        <v>-2.1889889998419676E-2</v>
      </c>
      <c r="O47" s="1">
        <f t="shared" ca="1" si="4"/>
        <v>4.2050451566394195E-3</v>
      </c>
      <c r="Q47" s="63">
        <f t="shared" si="5"/>
        <v>26978.883000000002</v>
      </c>
    </row>
    <row r="48" spans="1:33">
      <c r="A48" s="25" t="s">
        <v>61</v>
      </c>
      <c r="B48" s="26" t="s">
        <v>49</v>
      </c>
      <c r="C48" s="27">
        <v>42026.328000000001</v>
      </c>
      <c r="D48" s="30"/>
      <c r="E48" s="29">
        <f t="shared" si="0"/>
        <v>-1345.9951474351469</v>
      </c>
      <c r="F48" s="1">
        <f t="shared" si="1"/>
        <v>-1346</v>
      </c>
      <c r="G48" s="1">
        <f t="shared" si="6"/>
        <v>1.2753579998388886E-2</v>
      </c>
      <c r="I48" s="1">
        <f t="shared" si="7"/>
        <v>1.2753579998388886E-2</v>
      </c>
      <c r="O48" s="1">
        <f t="shared" ca="1" si="4"/>
        <v>4.2146292300964342E-3</v>
      </c>
      <c r="Q48" s="63">
        <f t="shared" si="5"/>
        <v>27007.828000000001</v>
      </c>
    </row>
    <row r="49" spans="1:33" ht="12.75" customHeight="1">
      <c r="A49" s="1" t="s">
        <v>62</v>
      </c>
      <c r="C49" s="31">
        <v>42286.523999999998</v>
      </c>
      <c r="D49" s="30"/>
      <c r="E49" s="1">
        <f t="shared" si="0"/>
        <v>-1246.9940854098506</v>
      </c>
      <c r="F49" s="1">
        <f t="shared" si="1"/>
        <v>-1247</v>
      </c>
      <c r="G49" s="1">
        <f t="shared" si="6"/>
        <v>1.5544809997663833E-2</v>
      </c>
      <c r="I49" s="1">
        <f t="shared" si="7"/>
        <v>1.5544809997663833E-2</v>
      </c>
      <c r="O49" s="1">
        <f t="shared" ca="1" si="4"/>
        <v>4.3008858912095601E-3</v>
      </c>
      <c r="Q49" s="63">
        <f t="shared" si="5"/>
        <v>27268.023999999998</v>
      </c>
      <c r="AB49" s="1" t="s">
        <v>63</v>
      </c>
      <c r="AC49" s="1">
        <v>11</v>
      </c>
      <c r="AE49" s="1" t="s">
        <v>64</v>
      </c>
      <c r="AG49" s="1" t="s">
        <v>65</v>
      </c>
    </row>
    <row r="50" spans="1:33">
      <c r="A50" s="25" t="s">
        <v>66</v>
      </c>
      <c r="B50" s="26" t="s">
        <v>49</v>
      </c>
      <c r="C50" s="27">
        <v>43022.404999999999</v>
      </c>
      <c r="D50" s="30"/>
      <c r="E50" s="29">
        <f t="shared" si="0"/>
        <v>-967.00130871751787</v>
      </c>
      <c r="F50" s="1">
        <f t="shared" si="1"/>
        <v>-967</v>
      </c>
      <c r="G50" s="1">
        <f t="shared" si="6"/>
        <v>-3.4395900001982227E-3</v>
      </c>
      <c r="I50" s="1">
        <f t="shared" si="7"/>
        <v>-3.4395900001982227E-3</v>
      </c>
      <c r="O50" s="1">
        <f t="shared" ca="1" si="4"/>
        <v>4.5448441246608261E-3</v>
      </c>
      <c r="Q50" s="63">
        <f t="shared" si="5"/>
        <v>28003.904999999999</v>
      </c>
    </row>
    <row r="51" spans="1:33" ht="12.75" customHeight="1">
      <c r="A51" s="1" t="s">
        <v>67</v>
      </c>
      <c r="C51" s="31">
        <v>43093.368000000002</v>
      </c>
      <c r="D51" s="30"/>
      <c r="E51" s="1">
        <f t="shared" si="0"/>
        <v>-940.00084612585033</v>
      </c>
      <c r="F51" s="1">
        <f t="shared" si="1"/>
        <v>-940</v>
      </c>
      <c r="G51" s="1">
        <f t="shared" si="6"/>
        <v>-2.2238000019569881E-3</v>
      </c>
      <c r="I51" s="1">
        <f t="shared" ref="I51:I64" si="8">+G51</f>
        <v>-2.2238000019569881E-3</v>
      </c>
      <c r="O51" s="1">
        <f t="shared" ca="1" si="4"/>
        <v>4.56836866860077E-3</v>
      </c>
      <c r="Q51" s="63">
        <f t="shared" si="5"/>
        <v>28074.868000000002</v>
      </c>
      <c r="AB51" s="1" t="s">
        <v>63</v>
      </c>
      <c r="AC51" s="1">
        <v>13</v>
      </c>
      <c r="AE51" s="1" t="s">
        <v>68</v>
      </c>
      <c r="AG51" s="1" t="s">
        <v>65</v>
      </c>
    </row>
    <row r="52" spans="1:33" ht="12.75" customHeight="1">
      <c r="A52" s="1" t="s">
        <v>69</v>
      </c>
      <c r="C52" s="31">
        <v>43382.466999999997</v>
      </c>
      <c r="D52" s="30"/>
      <c r="E52" s="1">
        <f t="shared" si="0"/>
        <v>-830.00258316081238</v>
      </c>
      <c r="F52" s="1">
        <f t="shared" si="1"/>
        <v>-830</v>
      </c>
      <c r="G52" s="1">
        <f t="shared" si="6"/>
        <v>-6.7891000071540475E-3</v>
      </c>
      <c r="I52" s="1">
        <f t="shared" si="8"/>
        <v>-6.7891000071540475E-3</v>
      </c>
      <c r="O52" s="1">
        <f t="shared" ca="1" si="4"/>
        <v>4.6642094031709106E-3</v>
      </c>
      <c r="Q52" s="63">
        <f t="shared" si="5"/>
        <v>28363.966999999997</v>
      </c>
      <c r="AB52" s="1" t="s">
        <v>63</v>
      </c>
      <c r="AC52" s="1">
        <v>11</v>
      </c>
      <c r="AE52" s="1" t="s">
        <v>70</v>
      </c>
      <c r="AG52" s="1" t="s">
        <v>65</v>
      </c>
    </row>
    <row r="53" spans="1:33" ht="12.75" customHeight="1">
      <c r="A53" s="1" t="s">
        <v>69</v>
      </c>
      <c r="C53" s="31">
        <v>43390.374000000003</v>
      </c>
      <c r="D53" s="30"/>
      <c r="E53" s="1">
        <f t="shared" ref="E53:E84" si="9">+(C53-C$7)/C$8</f>
        <v>-826.99407650646469</v>
      </c>
      <c r="F53" s="1">
        <f t="shared" ref="F53:F84" si="10">ROUND(2*E53,0)/2</f>
        <v>-827</v>
      </c>
      <c r="G53" s="1">
        <f t="shared" si="6"/>
        <v>1.5568210001219995E-2</v>
      </c>
      <c r="I53" s="1">
        <f t="shared" si="8"/>
        <v>1.5568210001219995E-2</v>
      </c>
      <c r="O53" s="1">
        <f t="shared" ref="O53:O84" ca="1" si="11">+C$11+C$12*$F53</f>
        <v>4.6668232413864599E-3</v>
      </c>
      <c r="Q53" s="63">
        <f t="shared" ref="Q53:Q84" si="12">+C53-15018.5</f>
        <v>28371.874000000003</v>
      </c>
      <c r="AB53" s="1" t="s">
        <v>63</v>
      </c>
      <c r="AC53" s="1">
        <v>9</v>
      </c>
      <c r="AE53" s="1" t="s">
        <v>70</v>
      </c>
      <c r="AG53" s="1" t="s">
        <v>65</v>
      </c>
    </row>
    <row r="54" spans="1:33" ht="12.75" customHeight="1">
      <c r="A54" s="1" t="s">
        <v>71</v>
      </c>
      <c r="C54" s="31">
        <v>43771.457999999999</v>
      </c>
      <c r="D54" s="30"/>
      <c r="E54" s="1">
        <f t="shared" si="9"/>
        <v>-681.99676401569582</v>
      </c>
      <c r="F54" s="1">
        <f t="shared" si="10"/>
        <v>-682</v>
      </c>
      <c r="G54" s="1">
        <f t="shared" si="6"/>
        <v>8.5048599939909764E-3</v>
      </c>
      <c r="I54" s="1">
        <f t="shared" si="8"/>
        <v>8.5048599939909764E-3</v>
      </c>
      <c r="O54" s="1">
        <f t="shared" ca="1" si="11"/>
        <v>4.7931587551380082E-3</v>
      </c>
      <c r="Q54" s="63">
        <f t="shared" si="12"/>
        <v>28752.957999999999</v>
      </c>
      <c r="AB54" s="1" t="s">
        <v>63</v>
      </c>
      <c r="AC54" s="1">
        <v>20</v>
      </c>
      <c r="AE54" s="1" t="s">
        <v>72</v>
      </c>
      <c r="AG54" s="1" t="s">
        <v>65</v>
      </c>
    </row>
    <row r="55" spans="1:33" ht="12.75" customHeight="1">
      <c r="A55" s="1" t="s">
        <v>73</v>
      </c>
      <c r="C55" s="31">
        <v>43779.338000000003</v>
      </c>
      <c r="D55" s="30"/>
      <c r="E55" s="1">
        <f t="shared" si="9"/>
        <v>-678.99853049650335</v>
      </c>
      <c r="F55" s="1">
        <f t="shared" si="10"/>
        <v>-679</v>
      </c>
      <c r="G55" s="1">
        <f t="shared" si="6"/>
        <v>3.862170000502374E-3</v>
      </c>
      <c r="I55" s="1">
        <f t="shared" si="8"/>
        <v>3.862170000502374E-3</v>
      </c>
      <c r="O55" s="1">
        <f t="shared" ca="1" si="11"/>
        <v>4.7957725933535575E-3</v>
      </c>
      <c r="Q55" s="63">
        <f t="shared" si="12"/>
        <v>28760.838000000003</v>
      </c>
      <c r="AB55" s="1" t="s">
        <v>63</v>
      </c>
      <c r="AC55" s="1">
        <v>12</v>
      </c>
      <c r="AE55" s="1" t="s">
        <v>74</v>
      </c>
      <c r="AG55" s="1" t="s">
        <v>65</v>
      </c>
    </row>
    <row r="56" spans="1:33" ht="12.75" customHeight="1">
      <c r="A56" s="1" t="s">
        <v>75</v>
      </c>
      <c r="C56" s="31">
        <v>43829.254999999997</v>
      </c>
      <c r="D56" s="30"/>
      <c r="E56" s="1">
        <f t="shared" si="9"/>
        <v>-660.00578651459671</v>
      </c>
      <c r="F56" s="1">
        <f t="shared" si="10"/>
        <v>-660</v>
      </c>
      <c r="G56" s="1">
        <f t="shared" si="6"/>
        <v>-1.5208200005872641E-2</v>
      </c>
      <c r="I56" s="1">
        <f t="shared" si="8"/>
        <v>-1.5208200005872641E-2</v>
      </c>
      <c r="O56" s="1">
        <f t="shared" ca="1" si="11"/>
        <v>4.8123269020520359E-3</v>
      </c>
      <c r="Q56" s="63">
        <f t="shared" si="12"/>
        <v>28810.754999999997</v>
      </c>
      <c r="AB56" s="1" t="s">
        <v>63</v>
      </c>
      <c r="AC56" s="1">
        <v>33</v>
      </c>
      <c r="AE56" s="1" t="s">
        <v>76</v>
      </c>
      <c r="AG56" s="1" t="s">
        <v>65</v>
      </c>
    </row>
    <row r="57" spans="1:33" ht="12.75" customHeight="1">
      <c r="A57" s="29" t="s">
        <v>77</v>
      </c>
      <c r="C57" s="31">
        <v>44097.356</v>
      </c>
      <c r="D57" s="30"/>
      <c r="E57" s="1">
        <f t="shared" si="9"/>
        <v>-557.99697880792723</v>
      </c>
      <c r="F57" s="1">
        <f t="shared" si="10"/>
        <v>-558</v>
      </c>
      <c r="G57" s="1">
        <f t="shared" si="6"/>
        <v>7.9403399940929376E-3</v>
      </c>
      <c r="I57" s="1">
        <f t="shared" si="8"/>
        <v>7.9403399940929376E-3</v>
      </c>
      <c r="O57" s="1">
        <f t="shared" ca="1" si="11"/>
        <v>4.901197401380712E-3</v>
      </c>
      <c r="Q57" s="63">
        <f t="shared" si="12"/>
        <v>29078.856</v>
      </c>
      <c r="AB57" s="1" t="s">
        <v>63</v>
      </c>
      <c r="AC57" s="1">
        <v>30</v>
      </c>
      <c r="AE57" s="1" t="s">
        <v>76</v>
      </c>
      <c r="AG57" s="1" t="s">
        <v>65</v>
      </c>
    </row>
    <row r="58" spans="1:33" ht="12.75" customHeight="1">
      <c r="A58" s="29" t="s">
        <v>78</v>
      </c>
      <c r="C58" s="31">
        <v>44118.394</v>
      </c>
      <c r="D58" s="30"/>
      <c r="E58" s="1">
        <f t="shared" si="9"/>
        <v>-549.99230409006736</v>
      </c>
      <c r="F58" s="1">
        <f t="shared" si="10"/>
        <v>-550</v>
      </c>
      <c r="G58" s="1">
        <f t="shared" si="6"/>
        <v>2.0226499997079372E-2</v>
      </c>
      <c r="I58" s="1">
        <f t="shared" si="8"/>
        <v>2.0226499997079372E-2</v>
      </c>
      <c r="O58" s="1">
        <f t="shared" ca="1" si="11"/>
        <v>4.9081676366221766E-3</v>
      </c>
      <c r="Q58" s="63">
        <f t="shared" si="12"/>
        <v>29099.894</v>
      </c>
      <c r="AB58" s="1" t="s">
        <v>63</v>
      </c>
      <c r="AC58" s="1">
        <v>22</v>
      </c>
      <c r="AE58" s="1" t="s">
        <v>79</v>
      </c>
      <c r="AG58" s="1" t="s">
        <v>65</v>
      </c>
    </row>
    <row r="59" spans="1:33">
      <c r="A59" s="25" t="s">
        <v>80</v>
      </c>
      <c r="B59" s="26" t="s">
        <v>49</v>
      </c>
      <c r="C59" s="27">
        <v>44168.311000000002</v>
      </c>
      <c r="D59" s="30"/>
      <c r="E59" s="29">
        <f t="shared" si="9"/>
        <v>-530.99956010815799</v>
      </c>
      <c r="F59" s="1">
        <f t="shared" si="10"/>
        <v>-531</v>
      </c>
      <c r="G59" s="1">
        <f t="shared" si="6"/>
        <v>1.1561299979803152E-3</v>
      </c>
      <c r="I59" s="1">
        <f t="shared" si="8"/>
        <v>1.1561299979803152E-3</v>
      </c>
      <c r="O59" s="1">
        <f t="shared" ca="1" si="11"/>
        <v>4.924721945320655E-3</v>
      </c>
      <c r="Q59" s="63">
        <f t="shared" si="12"/>
        <v>29149.811000000002</v>
      </c>
    </row>
    <row r="60" spans="1:33" ht="12.75" customHeight="1">
      <c r="A60" s="29" t="s">
        <v>78</v>
      </c>
      <c r="C60" s="31">
        <v>44189.341</v>
      </c>
      <c r="D60" s="30"/>
      <c r="E60" s="1">
        <f t="shared" si="9"/>
        <v>-522.99792928219642</v>
      </c>
      <c r="F60" s="1">
        <f t="shared" si="10"/>
        <v>-523</v>
      </c>
      <c r="G60" s="1">
        <f t="shared" si="6"/>
        <v>5.4422899993369356E-3</v>
      </c>
      <c r="I60" s="1">
        <f t="shared" si="8"/>
        <v>5.4422899993369356E-3</v>
      </c>
      <c r="O60" s="1">
        <f t="shared" ca="1" si="11"/>
        <v>4.9316921805621205E-3</v>
      </c>
      <c r="Q60" s="63">
        <f t="shared" si="12"/>
        <v>29170.841</v>
      </c>
      <c r="AB60" s="1" t="s">
        <v>63</v>
      </c>
      <c r="AC60" s="1">
        <v>10</v>
      </c>
      <c r="AE60" s="1" t="s">
        <v>74</v>
      </c>
      <c r="AG60" s="1" t="s">
        <v>65</v>
      </c>
    </row>
    <row r="61" spans="1:33" ht="12.75" customHeight="1">
      <c r="A61" s="29" t="s">
        <v>77</v>
      </c>
      <c r="C61" s="31">
        <v>44189.345999999998</v>
      </c>
      <c r="D61" s="30"/>
      <c r="E61" s="1">
        <f t="shared" si="9"/>
        <v>-522.99602684976139</v>
      </c>
      <c r="F61" s="1">
        <f t="shared" si="10"/>
        <v>-523</v>
      </c>
      <c r="G61" s="1">
        <f t="shared" si="6"/>
        <v>1.0442289996717591E-2</v>
      </c>
      <c r="I61" s="1">
        <f t="shared" si="8"/>
        <v>1.0442289996717591E-2</v>
      </c>
      <c r="O61" s="1">
        <f t="shared" ca="1" si="11"/>
        <v>4.9316921805621205E-3</v>
      </c>
      <c r="Q61" s="63">
        <f t="shared" si="12"/>
        <v>29170.845999999998</v>
      </c>
      <c r="AB61" s="1" t="s">
        <v>63</v>
      </c>
      <c r="AC61" s="1">
        <v>10</v>
      </c>
      <c r="AE61" s="1" t="s">
        <v>81</v>
      </c>
      <c r="AG61" s="1" t="s">
        <v>65</v>
      </c>
    </row>
    <row r="62" spans="1:33" ht="12.75" customHeight="1">
      <c r="A62" s="32" t="s">
        <v>82</v>
      </c>
      <c r="B62" s="33"/>
      <c r="C62" s="34">
        <v>44475.813999999998</v>
      </c>
      <c r="D62" s="34">
        <v>1.4E-3</v>
      </c>
      <c r="E62" s="1">
        <f t="shared" si="9"/>
        <v>-413.99882383256255</v>
      </c>
      <c r="F62" s="1">
        <f t="shared" si="10"/>
        <v>-414</v>
      </c>
      <c r="G62" s="1">
        <f t="shared" si="6"/>
        <v>3.0912199945305474E-3</v>
      </c>
      <c r="I62" s="1">
        <f t="shared" si="8"/>
        <v>3.0912199945305474E-3</v>
      </c>
      <c r="O62" s="1">
        <f t="shared" ca="1" si="11"/>
        <v>5.0266616357270769E-3</v>
      </c>
      <c r="Q62" s="63">
        <f t="shared" si="12"/>
        <v>29457.313999999998</v>
      </c>
    </row>
    <row r="63" spans="1:33">
      <c r="A63" s="25" t="s">
        <v>83</v>
      </c>
      <c r="B63" s="26" t="s">
        <v>49</v>
      </c>
      <c r="C63" s="27">
        <v>44486.332999999999</v>
      </c>
      <c r="D63" s="30"/>
      <c r="E63" s="29">
        <f t="shared" si="9"/>
        <v>-409.99648647363267</v>
      </c>
      <c r="F63" s="1">
        <f t="shared" si="10"/>
        <v>-410</v>
      </c>
      <c r="G63" s="1">
        <f t="shared" si="6"/>
        <v>9.2342999996617436E-3</v>
      </c>
      <c r="I63" s="1">
        <f t="shared" si="8"/>
        <v>9.2342999996617436E-3</v>
      </c>
      <c r="O63" s="1">
        <f t="shared" ca="1" si="11"/>
        <v>5.0301467533478096E-3</v>
      </c>
      <c r="Q63" s="63">
        <f t="shared" si="12"/>
        <v>29467.832999999999</v>
      </c>
    </row>
    <row r="64" spans="1:33" ht="12.75" customHeight="1">
      <c r="A64" s="29" t="s">
        <v>84</v>
      </c>
      <c r="C64" s="31">
        <v>44486.337</v>
      </c>
      <c r="D64" s="30"/>
      <c r="E64" s="1">
        <f t="shared" si="9"/>
        <v>-409.99496452768352</v>
      </c>
      <c r="F64" s="1">
        <f t="shared" si="10"/>
        <v>-410</v>
      </c>
      <c r="G64" s="1">
        <f t="shared" si="6"/>
        <v>1.3234300000476651E-2</v>
      </c>
      <c r="I64" s="1">
        <f t="shared" si="8"/>
        <v>1.3234300000476651E-2</v>
      </c>
      <c r="O64" s="1">
        <f t="shared" ca="1" si="11"/>
        <v>5.0301467533478096E-3</v>
      </c>
      <c r="Q64" s="63">
        <f t="shared" si="12"/>
        <v>29467.837</v>
      </c>
      <c r="AB64" s="1" t="s">
        <v>63</v>
      </c>
      <c r="AC64" s="1">
        <v>7</v>
      </c>
      <c r="AE64" s="1" t="s">
        <v>81</v>
      </c>
      <c r="AG64" s="1" t="s">
        <v>65</v>
      </c>
    </row>
    <row r="65" spans="1:33" ht="12.75" customHeight="1">
      <c r="A65" s="32" t="s">
        <v>82</v>
      </c>
      <c r="B65" s="33" t="s">
        <v>45</v>
      </c>
      <c r="C65" s="34">
        <v>45546.820200000002</v>
      </c>
      <c r="D65" s="34">
        <v>2.5000000000000001E-3</v>
      </c>
      <c r="E65" s="1">
        <f t="shared" si="9"/>
        <v>-6.4954370177048775</v>
      </c>
      <c r="F65" s="1">
        <f t="shared" si="10"/>
        <v>-6.5</v>
      </c>
      <c r="G65" s="1">
        <f t="shared" si="6"/>
        <v>1.1992494997684844E-2</v>
      </c>
      <c r="J65" s="1">
        <f>+G65</f>
        <v>1.1992494997684844E-2</v>
      </c>
      <c r="O65" s="1">
        <f t="shared" ca="1" si="11"/>
        <v>5.3817079933391881E-3</v>
      </c>
      <c r="Q65" s="63">
        <f t="shared" si="12"/>
        <v>30528.320200000002</v>
      </c>
    </row>
    <row r="66" spans="1:33" ht="12.75" customHeight="1">
      <c r="A66" s="29" t="s">
        <v>85</v>
      </c>
      <c r="C66" s="30">
        <v>45563.891600000003</v>
      </c>
      <c r="D66" s="30" t="s">
        <v>16</v>
      </c>
      <c r="E66" s="1">
        <f t="shared" si="9"/>
        <v>0</v>
      </c>
      <c r="F66" s="1">
        <f t="shared" si="10"/>
        <v>0</v>
      </c>
      <c r="G66" s="1">
        <f t="shared" si="6"/>
        <v>0</v>
      </c>
      <c r="H66" s="1">
        <f>+G66</f>
        <v>0</v>
      </c>
      <c r="O66" s="1">
        <f t="shared" ca="1" si="11"/>
        <v>5.3873713094728781E-3</v>
      </c>
      <c r="Q66" s="63">
        <f t="shared" si="12"/>
        <v>30545.391600000003</v>
      </c>
    </row>
    <row r="67" spans="1:33" ht="12.75" customHeight="1">
      <c r="A67" s="32" t="s">
        <v>82</v>
      </c>
      <c r="B67" s="33"/>
      <c r="C67" s="34">
        <v>45563.891600000003</v>
      </c>
      <c r="D67" s="34">
        <v>1.6000000000000001E-3</v>
      </c>
      <c r="E67" s="1">
        <f t="shared" si="9"/>
        <v>0</v>
      </c>
      <c r="F67" s="1">
        <f t="shared" si="10"/>
        <v>0</v>
      </c>
      <c r="G67" s="1">
        <f t="shared" si="6"/>
        <v>0</v>
      </c>
      <c r="J67" s="1">
        <f>+G67</f>
        <v>0</v>
      </c>
      <c r="O67" s="1">
        <f t="shared" ca="1" si="11"/>
        <v>5.3873713094728781E-3</v>
      </c>
      <c r="Q67" s="63">
        <f t="shared" si="12"/>
        <v>30545.391600000003</v>
      </c>
    </row>
    <row r="68" spans="1:33" ht="12.75" customHeight="1">
      <c r="A68" s="32" t="s">
        <v>82</v>
      </c>
      <c r="B68" s="33" t="s">
        <v>45</v>
      </c>
      <c r="C68" s="34">
        <v>45567.839899999999</v>
      </c>
      <c r="D68" s="34">
        <v>3.8999999999999998E-3</v>
      </c>
      <c r="E68" s="1">
        <f t="shared" si="9"/>
        <v>1.5022747974377946</v>
      </c>
      <c r="F68" s="1">
        <f t="shared" si="10"/>
        <v>1.5</v>
      </c>
      <c r="G68" s="1">
        <f t="shared" si="6"/>
        <v>5.9786549973068759E-3</v>
      </c>
      <c r="J68" s="1">
        <f>+G68</f>
        <v>5.9786549973068759E-3</v>
      </c>
      <c r="O68" s="1">
        <f t="shared" ca="1" si="11"/>
        <v>5.3886782285806527E-3</v>
      </c>
      <c r="Q68" s="63">
        <f t="shared" si="12"/>
        <v>30549.339899999999</v>
      </c>
    </row>
    <row r="69" spans="1:33" ht="12.75" customHeight="1">
      <c r="A69" s="29" t="s">
        <v>86</v>
      </c>
      <c r="C69" s="31">
        <v>45603.322999999997</v>
      </c>
      <c r="D69" s="30"/>
      <c r="E69" s="1">
        <f t="shared" si="9"/>
        <v>15.00311487164957</v>
      </c>
      <c r="F69" s="1">
        <f t="shared" si="10"/>
        <v>15</v>
      </c>
      <c r="G69" s="1">
        <f t="shared" si="6"/>
        <v>8.1865499960258603E-3</v>
      </c>
      <c r="I69" s="1">
        <f>+G69</f>
        <v>8.1865499960258603E-3</v>
      </c>
      <c r="O69" s="1">
        <f t="shared" ca="1" si="11"/>
        <v>5.4004405005506247E-3</v>
      </c>
      <c r="Q69" s="63">
        <f t="shared" si="12"/>
        <v>30584.822999999997</v>
      </c>
      <c r="AB69" s="1" t="s">
        <v>63</v>
      </c>
      <c r="AC69" s="1">
        <v>7</v>
      </c>
      <c r="AE69" s="1" t="s">
        <v>87</v>
      </c>
      <c r="AG69" s="1" t="s">
        <v>65</v>
      </c>
    </row>
    <row r="70" spans="1:33">
      <c r="A70" s="25" t="s">
        <v>88</v>
      </c>
      <c r="B70" s="26" t="s">
        <v>49</v>
      </c>
      <c r="C70" s="27">
        <v>45632.245999999999</v>
      </c>
      <c r="D70" s="30"/>
      <c r="E70" s="29">
        <f t="shared" si="9"/>
        <v>26.007925541136927</v>
      </c>
      <c r="F70" s="1">
        <f t="shared" si="10"/>
        <v>26</v>
      </c>
      <c r="G70" s="1">
        <f t="shared" si="6"/>
        <v>2.083001999562839E-2</v>
      </c>
      <c r="I70" s="1">
        <f t="shared" ref="I70:I81" si="13">+G70</f>
        <v>2.083001999562839E-2</v>
      </c>
      <c r="O70" s="1">
        <f t="shared" ca="1" si="11"/>
        <v>5.4100245740076386E-3</v>
      </c>
      <c r="Q70" s="63">
        <f t="shared" si="12"/>
        <v>30613.745999999999</v>
      </c>
    </row>
    <row r="71" spans="1:33">
      <c r="A71" s="25" t="s">
        <v>89</v>
      </c>
      <c r="B71" s="26" t="s">
        <v>49</v>
      </c>
      <c r="C71" s="27">
        <v>45674.273999999998</v>
      </c>
      <c r="D71" s="30"/>
      <c r="E71" s="29">
        <f t="shared" si="9"/>
        <v>41.99901162546972</v>
      </c>
      <c r="F71" s="1">
        <f t="shared" si="10"/>
        <v>42</v>
      </c>
      <c r="G71" s="1">
        <f t="shared" si="6"/>
        <v>-2.5976600081776269E-3</v>
      </c>
      <c r="I71" s="1">
        <f t="shared" si="13"/>
        <v>-2.5976600081776269E-3</v>
      </c>
      <c r="O71" s="1">
        <f t="shared" ca="1" si="11"/>
        <v>5.4239650444905677E-3</v>
      </c>
      <c r="Q71" s="63">
        <f t="shared" si="12"/>
        <v>30655.773999999998</v>
      </c>
    </row>
    <row r="72" spans="1:33" ht="12.75" customHeight="1">
      <c r="A72" s="29" t="s">
        <v>90</v>
      </c>
      <c r="C72" s="31">
        <v>45942.381999999998</v>
      </c>
      <c r="D72" s="30"/>
      <c r="E72" s="1">
        <f t="shared" si="9"/>
        <v>144.01048273754878</v>
      </c>
      <c r="F72" s="1">
        <f t="shared" si="10"/>
        <v>144</v>
      </c>
      <c r="G72" s="1">
        <f t="shared" si="6"/>
        <v>2.7550879996852018E-2</v>
      </c>
      <c r="I72" s="1">
        <f t="shared" si="13"/>
        <v>2.7550879996852018E-2</v>
      </c>
      <c r="O72" s="1">
        <f t="shared" ca="1" si="11"/>
        <v>5.5128355438192438E-3</v>
      </c>
      <c r="Q72" s="63">
        <f t="shared" si="12"/>
        <v>30923.881999999998</v>
      </c>
      <c r="AB72" s="1" t="s">
        <v>63</v>
      </c>
      <c r="AG72" s="1" t="s">
        <v>57</v>
      </c>
    </row>
    <row r="73" spans="1:33" ht="12.75" customHeight="1">
      <c r="A73" s="29" t="s">
        <v>90</v>
      </c>
      <c r="C73" s="31">
        <v>45992.309000000001</v>
      </c>
      <c r="D73" s="30"/>
      <c r="E73" s="1">
        <f t="shared" si="9"/>
        <v>163.00703158433109</v>
      </c>
      <c r="F73" s="1">
        <f t="shared" si="10"/>
        <v>163</v>
      </c>
      <c r="G73" s="1">
        <f t="shared" si="6"/>
        <v>1.8480509999790229E-2</v>
      </c>
      <c r="I73" s="1">
        <f t="shared" si="13"/>
        <v>1.8480509999790229E-2</v>
      </c>
      <c r="O73" s="1">
        <f t="shared" ca="1" si="11"/>
        <v>5.5293898525177222E-3</v>
      </c>
      <c r="Q73" s="63">
        <f t="shared" si="12"/>
        <v>30973.809000000001</v>
      </c>
      <c r="AB73" s="1" t="s">
        <v>63</v>
      </c>
      <c r="AG73" s="1" t="s">
        <v>57</v>
      </c>
    </row>
    <row r="74" spans="1:33" ht="12.75" customHeight="1">
      <c r="A74" s="29" t="s">
        <v>91</v>
      </c>
      <c r="C74" s="31">
        <v>46005.430999999997</v>
      </c>
      <c r="D74" s="30"/>
      <c r="E74" s="1">
        <f t="shared" si="9"/>
        <v>167.99977526945898</v>
      </c>
      <c r="F74" s="1">
        <f t="shared" si="10"/>
        <v>168</v>
      </c>
      <c r="G74" s="1">
        <f t="shared" si="6"/>
        <v>-5.9064000379294157E-4</v>
      </c>
      <c r="I74" s="1">
        <f t="shared" si="13"/>
        <v>-5.9064000379294157E-4</v>
      </c>
      <c r="O74" s="1">
        <f t="shared" ca="1" si="11"/>
        <v>5.5337462495436375E-3</v>
      </c>
      <c r="Q74" s="63">
        <f t="shared" si="12"/>
        <v>30986.930999999997</v>
      </c>
      <c r="AB74" s="1" t="s">
        <v>63</v>
      </c>
      <c r="AC74" s="1">
        <v>7</v>
      </c>
      <c r="AE74" s="1" t="s">
        <v>92</v>
      </c>
      <c r="AG74" s="1" t="s">
        <v>65</v>
      </c>
    </row>
    <row r="75" spans="1:33" ht="12.75" customHeight="1">
      <c r="A75" s="29" t="s">
        <v>90</v>
      </c>
      <c r="C75" s="31">
        <v>46281.41</v>
      </c>
      <c r="D75" s="30"/>
      <c r="E75" s="1">
        <f t="shared" si="9"/>
        <v>273.00605552234634</v>
      </c>
      <c r="F75" s="1">
        <f t="shared" si="10"/>
        <v>273</v>
      </c>
      <c r="G75" s="1">
        <f t="shared" ref="G75:G106" si="14">+C75-(C$7+F75*C$8)</f>
        <v>1.5915210002276581E-2</v>
      </c>
      <c r="I75" s="1">
        <f t="shared" si="13"/>
        <v>1.5915210002276581E-2</v>
      </c>
      <c r="O75" s="1">
        <f t="shared" ca="1" si="11"/>
        <v>5.6252305870878629E-3</v>
      </c>
      <c r="Q75" s="63">
        <f t="shared" si="12"/>
        <v>31262.910000000003</v>
      </c>
      <c r="AB75" s="1" t="s">
        <v>63</v>
      </c>
      <c r="AG75" s="1" t="s">
        <v>57</v>
      </c>
    </row>
    <row r="76" spans="1:33" ht="12.75" customHeight="1">
      <c r="A76" s="29" t="s">
        <v>93</v>
      </c>
      <c r="C76" s="31">
        <v>46352.358999999997</v>
      </c>
      <c r="D76" s="30"/>
      <c r="E76" s="1">
        <f t="shared" si="9"/>
        <v>300.00119130318916</v>
      </c>
      <c r="F76" s="1">
        <f t="shared" si="10"/>
        <v>300</v>
      </c>
      <c r="G76" s="1">
        <f t="shared" si="14"/>
        <v>3.1309999903896824E-3</v>
      </c>
      <c r="H76" s="1">
        <f>+G76</f>
        <v>3.1309999903896824E-3</v>
      </c>
      <c r="I76" s="1">
        <f t="shared" si="13"/>
        <v>3.1309999903896824E-3</v>
      </c>
      <c r="O76" s="1">
        <f t="shared" ca="1" si="11"/>
        <v>5.6487551310278059E-3</v>
      </c>
      <c r="Q76" s="63">
        <f t="shared" si="12"/>
        <v>31333.858999999997</v>
      </c>
      <c r="AB76" s="1" t="s">
        <v>63</v>
      </c>
      <c r="AG76" s="1" t="s">
        <v>57</v>
      </c>
    </row>
    <row r="77" spans="1:33">
      <c r="A77" s="25" t="s">
        <v>94</v>
      </c>
      <c r="B77" s="26" t="s">
        <v>49</v>
      </c>
      <c r="C77" s="27">
        <v>46352.385999999999</v>
      </c>
      <c r="D77" s="30"/>
      <c r="E77" s="29">
        <f t="shared" si="9"/>
        <v>300.01146443834449</v>
      </c>
      <c r="F77" s="1">
        <f t="shared" si="10"/>
        <v>300</v>
      </c>
      <c r="G77" s="1">
        <f t="shared" si="14"/>
        <v>3.0130999992252328E-2</v>
      </c>
      <c r="I77" s="1">
        <f t="shared" si="13"/>
        <v>3.0130999992252328E-2</v>
      </c>
      <c r="O77" s="1">
        <f t="shared" ca="1" si="11"/>
        <v>5.6487551310278059E-3</v>
      </c>
      <c r="Q77" s="63">
        <f t="shared" si="12"/>
        <v>31333.885999999999</v>
      </c>
    </row>
    <row r="78" spans="1:33">
      <c r="A78" s="25" t="s">
        <v>94</v>
      </c>
      <c r="B78" s="26" t="s">
        <v>49</v>
      </c>
      <c r="C78" s="27">
        <v>46720.307000000001</v>
      </c>
      <c r="D78" s="30"/>
      <c r="E78" s="29">
        <f t="shared" si="9"/>
        <v>440.00043329801088</v>
      </c>
      <c r="F78" s="1">
        <f t="shared" si="10"/>
        <v>440</v>
      </c>
      <c r="G78" s="1">
        <f t="shared" si="14"/>
        <v>1.1387999984435737E-3</v>
      </c>
      <c r="I78" s="1">
        <f t="shared" si="13"/>
        <v>1.1387999984435737E-3</v>
      </c>
      <c r="O78" s="1">
        <f t="shared" ca="1" si="11"/>
        <v>5.7707342477534389E-3</v>
      </c>
      <c r="Q78" s="63">
        <f t="shared" si="12"/>
        <v>31701.807000000001</v>
      </c>
    </row>
    <row r="79" spans="1:33" ht="12.75" customHeight="1">
      <c r="A79" s="29" t="s">
        <v>95</v>
      </c>
      <c r="C79" s="31">
        <v>47030.495999999999</v>
      </c>
      <c r="D79" s="30"/>
      <c r="E79" s="1">
        <f t="shared" si="9"/>
        <v>558.02315627824464</v>
      </c>
      <c r="F79" s="1">
        <f t="shared" si="10"/>
        <v>558</v>
      </c>
      <c r="G79" s="1">
        <f t="shared" si="14"/>
        <v>6.0859659999550786E-2</v>
      </c>
      <c r="I79" s="1">
        <f t="shared" si="13"/>
        <v>6.0859659999550786E-2</v>
      </c>
      <c r="O79" s="1">
        <f t="shared" ca="1" si="11"/>
        <v>5.8735452175650441E-3</v>
      </c>
      <c r="Q79" s="63">
        <f t="shared" si="12"/>
        <v>32011.995999999999</v>
      </c>
      <c r="AB79" s="1" t="s">
        <v>63</v>
      </c>
      <c r="AG79" s="1" t="s">
        <v>57</v>
      </c>
    </row>
    <row r="80" spans="1:33">
      <c r="A80" s="25" t="s">
        <v>96</v>
      </c>
      <c r="B80" s="26" t="s">
        <v>49</v>
      </c>
      <c r="C80" s="27">
        <v>47469.358999999997</v>
      </c>
      <c r="D80" s="30"/>
      <c r="E80" s="29">
        <f t="shared" si="9"/>
        <v>725.00459751334427</v>
      </c>
      <c r="F80" s="1">
        <f t="shared" si="10"/>
        <v>725</v>
      </c>
      <c r="G80" s="1">
        <f t="shared" si="14"/>
        <v>1.2083249996067025E-2</v>
      </c>
      <c r="I80" s="1">
        <f t="shared" si="13"/>
        <v>1.2083249996067025E-2</v>
      </c>
      <c r="O80" s="1">
        <f t="shared" ca="1" si="11"/>
        <v>6.019048878230621E-3</v>
      </c>
      <c r="Q80" s="63">
        <f t="shared" si="12"/>
        <v>32450.858999999997</v>
      </c>
    </row>
    <row r="81" spans="1:33" ht="12.75" customHeight="1">
      <c r="A81" s="29" t="s">
        <v>97</v>
      </c>
      <c r="C81" s="31">
        <v>48444.436999999998</v>
      </c>
      <c r="D81" s="30"/>
      <c r="E81" s="1">
        <f t="shared" si="9"/>
        <v>1096.0086004861162</v>
      </c>
      <c r="F81" s="1">
        <f t="shared" si="10"/>
        <v>1096</v>
      </c>
      <c r="G81" s="1">
        <f t="shared" si="14"/>
        <v>2.2603919998800848E-2</v>
      </c>
      <c r="I81" s="1">
        <f t="shared" si="13"/>
        <v>2.2603919998800848E-2</v>
      </c>
      <c r="O81" s="1">
        <f t="shared" ca="1" si="11"/>
        <v>6.3422935375535491E-3</v>
      </c>
      <c r="Q81" s="63">
        <f t="shared" si="12"/>
        <v>33425.936999999998</v>
      </c>
      <c r="AB81" s="1" t="s">
        <v>63</v>
      </c>
      <c r="AG81" s="1" t="s">
        <v>57</v>
      </c>
    </row>
    <row r="82" spans="1:33" ht="12.75" customHeight="1">
      <c r="A82" s="35" t="s">
        <v>98</v>
      </c>
      <c r="B82" s="36" t="s">
        <v>49</v>
      </c>
      <c r="C82" s="34">
        <v>48486.465600000003</v>
      </c>
      <c r="D82" s="34">
        <v>2.9999999999999997E-4</v>
      </c>
      <c r="E82" s="1">
        <f t="shared" si="9"/>
        <v>1111.9999148623438</v>
      </c>
      <c r="F82" s="1">
        <f t="shared" si="10"/>
        <v>1112</v>
      </c>
      <c r="G82" s="1">
        <f t="shared" si="14"/>
        <v>-2.2375999833457172E-4</v>
      </c>
      <c r="J82" s="1">
        <f>+G82</f>
        <v>-2.2375999833457172E-4</v>
      </c>
      <c r="O82" s="1">
        <f t="shared" ca="1" si="11"/>
        <v>6.3562340080364783E-3</v>
      </c>
      <c r="Q82" s="63">
        <f t="shared" si="12"/>
        <v>33467.965600000003</v>
      </c>
    </row>
    <row r="83" spans="1:33" ht="12.75" customHeight="1">
      <c r="A83" s="29" t="s">
        <v>97</v>
      </c>
      <c r="C83" s="31">
        <v>48486.472000000002</v>
      </c>
      <c r="D83" s="30"/>
      <c r="E83" s="1">
        <f t="shared" si="9"/>
        <v>1112.0023499758613</v>
      </c>
      <c r="F83" s="1">
        <f t="shared" si="10"/>
        <v>1112</v>
      </c>
      <c r="G83" s="1">
        <f t="shared" si="14"/>
        <v>6.1762400000588968E-3</v>
      </c>
      <c r="I83" s="1">
        <f>+G83</f>
        <v>6.1762400000588968E-3</v>
      </c>
      <c r="O83" s="1">
        <f t="shared" ca="1" si="11"/>
        <v>6.3562340080364783E-3</v>
      </c>
      <c r="Q83" s="63">
        <f t="shared" si="12"/>
        <v>33467.972000000002</v>
      </c>
      <c r="AB83" s="1" t="s">
        <v>63</v>
      </c>
      <c r="AG83" s="1" t="s">
        <v>57</v>
      </c>
    </row>
    <row r="84" spans="1:33" ht="12.75" customHeight="1">
      <c r="A84" s="35" t="s">
        <v>98</v>
      </c>
      <c r="B84" s="36" t="s">
        <v>49</v>
      </c>
      <c r="C84" s="34">
        <v>48507.492899999997</v>
      </c>
      <c r="D84" s="34">
        <v>1E-4</v>
      </c>
      <c r="E84" s="1">
        <f t="shared" si="9"/>
        <v>1120.000518374788</v>
      </c>
      <c r="F84" s="1">
        <f t="shared" si="10"/>
        <v>1120</v>
      </c>
      <c r="G84" s="1">
        <f t="shared" si="14"/>
        <v>1.3623999911942519E-3</v>
      </c>
      <c r="J84" s="1">
        <f>+G84</f>
        <v>1.3623999911942519E-3</v>
      </c>
      <c r="O84" s="1">
        <f t="shared" ca="1" si="11"/>
        <v>6.3632042432779428E-3</v>
      </c>
      <c r="Q84" s="63">
        <f t="shared" si="12"/>
        <v>33488.992899999997</v>
      </c>
    </row>
    <row r="85" spans="1:33" ht="12.75" customHeight="1">
      <c r="A85" s="29" t="s">
        <v>99</v>
      </c>
      <c r="C85" s="31">
        <v>48507.508000000002</v>
      </c>
      <c r="D85" s="30">
        <v>2E-3</v>
      </c>
      <c r="E85" s="1">
        <f t="shared" ref="E85:E112" si="15">+(C85-C$7)/C$8</f>
        <v>1120.0062637207466</v>
      </c>
      <c r="F85" s="1">
        <f t="shared" ref="F85:F118" si="16">ROUND(2*E85,0)/2</f>
        <v>1120</v>
      </c>
      <c r="G85" s="1">
        <f t="shared" si="14"/>
        <v>1.646239999536192E-2</v>
      </c>
      <c r="I85" s="1">
        <f t="shared" ref="I85:I91" si="17">+G85</f>
        <v>1.646239999536192E-2</v>
      </c>
      <c r="O85" s="1">
        <f t="shared" ref="O85:O112" ca="1" si="18">+C$11+C$12*$F85</f>
        <v>6.3632042432779428E-3</v>
      </c>
      <c r="Q85" s="63">
        <f t="shared" ref="Q85:Q112" si="19">+C85-15018.5</f>
        <v>33489.008000000002</v>
      </c>
      <c r="AB85" s="1" t="s">
        <v>63</v>
      </c>
      <c r="AC85" s="1">
        <v>16</v>
      </c>
      <c r="AE85" s="1" t="s">
        <v>100</v>
      </c>
      <c r="AG85" s="1" t="s">
        <v>65</v>
      </c>
    </row>
    <row r="86" spans="1:33">
      <c r="A86" s="25" t="s">
        <v>101</v>
      </c>
      <c r="B86" s="26" t="s">
        <v>49</v>
      </c>
      <c r="C86" s="27">
        <v>48954.288999999997</v>
      </c>
      <c r="D86" s="30"/>
      <c r="E86" s="29">
        <f t="shared" si="15"/>
        <v>1290.0003969615498</v>
      </c>
      <c r="F86" s="1">
        <f t="shared" si="16"/>
        <v>1290</v>
      </c>
      <c r="G86" s="1">
        <f t="shared" si="14"/>
        <v>1.0432999915792607E-3</v>
      </c>
      <c r="I86" s="1">
        <f t="shared" si="17"/>
        <v>1.0432999915792607E-3</v>
      </c>
      <c r="O86" s="1">
        <f t="shared" ca="1" si="18"/>
        <v>6.511321742159069E-3</v>
      </c>
      <c r="Q86" s="63">
        <f t="shared" si="19"/>
        <v>33935.788999999997</v>
      </c>
    </row>
    <row r="87" spans="1:33">
      <c r="A87" s="25" t="s">
        <v>102</v>
      </c>
      <c r="B87" s="26" t="s">
        <v>49</v>
      </c>
      <c r="C87" s="27">
        <v>49222.362999999998</v>
      </c>
      <c r="D87" s="30"/>
      <c r="E87" s="29">
        <f t="shared" si="15"/>
        <v>1391.998931533064</v>
      </c>
      <c r="F87" s="1">
        <f t="shared" si="16"/>
        <v>1392</v>
      </c>
      <c r="G87" s="1">
        <f t="shared" si="14"/>
        <v>-2.8081600030418485E-3</v>
      </c>
      <c r="I87" s="1">
        <f t="shared" si="17"/>
        <v>-2.8081600030418485E-3</v>
      </c>
      <c r="O87" s="1">
        <f t="shared" ca="1" si="18"/>
        <v>6.6001922414877442E-3</v>
      </c>
      <c r="Q87" s="63">
        <f t="shared" si="19"/>
        <v>34203.862999999998</v>
      </c>
    </row>
    <row r="88" spans="1:33">
      <c r="A88" s="25" t="s">
        <v>103</v>
      </c>
      <c r="B88" s="26" t="s">
        <v>49</v>
      </c>
      <c r="C88" s="27">
        <v>49603.47</v>
      </c>
      <c r="D88" s="30"/>
      <c r="E88" s="29">
        <f t="shared" si="15"/>
        <v>1537.0049952130416</v>
      </c>
      <c r="F88" s="1">
        <f t="shared" si="16"/>
        <v>1537</v>
      </c>
      <c r="G88" s="1">
        <f t="shared" si="14"/>
        <v>1.3128489998052828E-2</v>
      </c>
      <c r="I88" s="1">
        <f t="shared" si="17"/>
        <v>1.3128489998052828E-2</v>
      </c>
      <c r="O88" s="1">
        <f t="shared" ca="1" si="18"/>
        <v>6.7265277552392925E-3</v>
      </c>
      <c r="Q88" s="63">
        <f t="shared" si="19"/>
        <v>34584.97</v>
      </c>
    </row>
    <row r="89" spans="1:33" ht="12.75" customHeight="1">
      <c r="A89" s="29" t="s">
        <v>97</v>
      </c>
      <c r="C89" s="31">
        <v>49653.385999999999</v>
      </c>
      <c r="D89" s="30"/>
      <c r="E89" s="1">
        <f t="shared" si="15"/>
        <v>1555.9973587084626</v>
      </c>
      <c r="F89" s="1">
        <f t="shared" si="16"/>
        <v>1556</v>
      </c>
      <c r="G89" s="1">
        <f t="shared" si="14"/>
        <v>-6.9418800048879348E-3</v>
      </c>
      <c r="I89" s="1">
        <f t="shared" si="17"/>
        <v>-6.9418800048879348E-3</v>
      </c>
      <c r="O89" s="1">
        <f t="shared" ca="1" si="18"/>
        <v>6.7430820639377718E-3</v>
      </c>
      <c r="Q89" s="63">
        <f t="shared" si="19"/>
        <v>34634.885999999999</v>
      </c>
      <c r="AB89" s="1" t="s">
        <v>63</v>
      </c>
      <c r="AG89" s="1" t="s">
        <v>57</v>
      </c>
    </row>
    <row r="90" spans="1:33" ht="12.75" customHeight="1">
      <c r="A90" s="29" t="s">
        <v>97</v>
      </c>
      <c r="B90" s="29"/>
      <c r="C90" s="37">
        <v>49653.391000000003</v>
      </c>
      <c r="D90" s="28"/>
      <c r="E90" s="29">
        <f t="shared" si="15"/>
        <v>1555.9992611409004</v>
      </c>
      <c r="F90" s="1">
        <f t="shared" si="16"/>
        <v>1556</v>
      </c>
      <c r="G90" s="1">
        <f t="shared" si="14"/>
        <v>-1.9418800002313219E-3</v>
      </c>
      <c r="I90" s="1">
        <f t="shared" si="17"/>
        <v>-1.9418800002313219E-3</v>
      </c>
      <c r="O90" s="1">
        <f t="shared" ca="1" si="18"/>
        <v>6.7430820639377718E-3</v>
      </c>
      <c r="Q90" s="63">
        <f t="shared" si="19"/>
        <v>34634.891000000003</v>
      </c>
      <c r="AB90" s="1" t="s">
        <v>63</v>
      </c>
      <c r="AG90" s="1" t="s">
        <v>57</v>
      </c>
    </row>
    <row r="91" spans="1:33" ht="12.75" customHeight="1">
      <c r="A91" s="29" t="s">
        <v>97</v>
      </c>
      <c r="B91" s="29"/>
      <c r="C91" s="37">
        <v>49661.275999999998</v>
      </c>
      <c r="D91" s="28"/>
      <c r="E91" s="29">
        <f t="shared" si="15"/>
        <v>1558.999397092525</v>
      </c>
      <c r="F91" s="1">
        <f t="shared" si="16"/>
        <v>1559</v>
      </c>
      <c r="G91" s="1">
        <f t="shared" si="14"/>
        <v>-1.5845700036152266E-3</v>
      </c>
      <c r="I91" s="1">
        <f t="shared" si="17"/>
        <v>-1.5845700036152266E-3</v>
      </c>
      <c r="O91" s="1">
        <f t="shared" ca="1" si="18"/>
        <v>6.7456959021533211E-3</v>
      </c>
      <c r="Q91" s="63">
        <f t="shared" si="19"/>
        <v>34642.775999999998</v>
      </c>
      <c r="AB91" s="1" t="s">
        <v>63</v>
      </c>
      <c r="AG91" s="1" t="s">
        <v>57</v>
      </c>
    </row>
    <row r="92" spans="1:33">
      <c r="A92" s="25" t="s">
        <v>104</v>
      </c>
      <c r="B92" s="26" t="s">
        <v>49</v>
      </c>
      <c r="C92" s="27">
        <v>49929.3514</v>
      </c>
      <c r="D92" s="30"/>
      <c r="E92" s="29">
        <f t="shared" si="15"/>
        <v>1660.9984643451216</v>
      </c>
      <c r="F92" s="1">
        <f t="shared" si="16"/>
        <v>1661</v>
      </c>
      <c r="G92" s="1">
        <f t="shared" si="14"/>
        <v>-4.0360300044994801E-3</v>
      </c>
      <c r="K92" s="1">
        <f t="shared" ref="K92:K100" si="20">+G92</f>
        <v>-4.0360300044994801E-3</v>
      </c>
      <c r="O92" s="1">
        <f t="shared" ca="1" si="18"/>
        <v>6.8345664014819963E-3</v>
      </c>
      <c r="Q92" s="63">
        <f t="shared" si="19"/>
        <v>34910.8514</v>
      </c>
    </row>
    <row r="93" spans="1:33">
      <c r="A93" s="25" t="s">
        <v>104</v>
      </c>
      <c r="B93" s="26" t="s">
        <v>49</v>
      </c>
      <c r="C93" s="27">
        <v>49942.503900000003</v>
      </c>
      <c r="D93" s="30"/>
      <c r="E93" s="29">
        <f t="shared" si="15"/>
        <v>1666.0028128681124</v>
      </c>
      <c r="F93" s="1">
        <f t="shared" si="16"/>
        <v>1666</v>
      </c>
      <c r="G93" s="1">
        <f t="shared" si="14"/>
        <v>7.3928199999500066E-3</v>
      </c>
      <c r="K93" s="1">
        <f t="shared" si="20"/>
        <v>7.3928199999500066E-3</v>
      </c>
      <c r="O93" s="1">
        <f t="shared" ca="1" si="18"/>
        <v>6.8389227985079116E-3</v>
      </c>
      <c r="Q93" s="63">
        <f t="shared" si="19"/>
        <v>34924.003900000003</v>
      </c>
    </row>
    <row r="94" spans="1:33">
      <c r="A94" s="25" t="s">
        <v>104</v>
      </c>
      <c r="B94" s="26" t="s">
        <v>49</v>
      </c>
      <c r="C94" s="27">
        <v>50439.220399999998</v>
      </c>
      <c r="D94" s="30"/>
      <c r="E94" s="29">
        <f t="shared" si="15"/>
        <v>1854.996729090838</v>
      </c>
      <c r="F94" s="1">
        <f t="shared" si="16"/>
        <v>1855</v>
      </c>
      <c r="G94" s="1">
        <f t="shared" si="14"/>
        <v>-8.5966500046197325E-3</v>
      </c>
      <c r="K94" s="1">
        <f t="shared" si="20"/>
        <v>-8.5966500046197325E-3</v>
      </c>
      <c r="O94" s="1">
        <f t="shared" ca="1" si="18"/>
        <v>7.0035946060875171E-3</v>
      </c>
      <c r="Q94" s="63">
        <f t="shared" si="19"/>
        <v>35420.720399999998</v>
      </c>
    </row>
    <row r="95" spans="1:33">
      <c r="A95" s="25" t="s">
        <v>104</v>
      </c>
      <c r="B95" s="26" t="s">
        <v>49</v>
      </c>
      <c r="C95" s="27">
        <v>50628.474699999999</v>
      </c>
      <c r="D95" s="30"/>
      <c r="E95" s="29">
        <f t="shared" si="15"/>
        <v>1927.005432886647</v>
      </c>
      <c r="F95" s="1">
        <f t="shared" si="16"/>
        <v>1927</v>
      </c>
      <c r="G95" s="1">
        <f t="shared" si="14"/>
        <v>1.4278789996751584E-2</v>
      </c>
      <c r="K95" s="1">
        <f t="shared" si="20"/>
        <v>1.4278789996751584E-2</v>
      </c>
      <c r="O95" s="1">
        <f t="shared" ca="1" si="18"/>
        <v>7.0663267232606991E-3</v>
      </c>
      <c r="Q95" s="63">
        <f t="shared" si="19"/>
        <v>35609.974699999999</v>
      </c>
    </row>
    <row r="96" spans="1:33">
      <c r="A96" s="25" t="s">
        <v>104</v>
      </c>
      <c r="B96" s="26" t="s">
        <v>49</v>
      </c>
      <c r="C96" s="27">
        <v>50628.478799999997</v>
      </c>
      <c r="D96" s="30"/>
      <c r="E96" s="29">
        <f t="shared" si="15"/>
        <v>1927.0069928812441</v>
      </c>
      <c r="F96" s="1">
        <f t="shared" si="16"/>
        <v>1927</v>
      </c>
      <c r="G96" s="1">
        <f t="shared" si="14"/>
        <v>1.8378789995040279E-2</v>
      </c>
      <c r="K96" s="1">
        <f t="shared" si="20"/>
        <v>1.8378789995040279E-2</v>
      </c>
      <c r="O96" s="1">
        <f t="shared" ca="1" si="18"/>
        <v>7.0663267232606991E-3</v>
      </c>
      <c r="Q96" s="63">
        <f t="shared" si="19"/>
        <v>35609.978799999997</v>
      </c>
    </row>
    <row r="97" spans="1:17">
      <c r="A97" s="25" t="s">
        <v>104</v>
      </c>
      <c r="B97" s="26" t="s">
        <v>49</v>
      </c>
      <c r="C97" s="27">
        <v>50628.480199999998</v>
      </c>
      <c r="D97" s="30"/>
      <c r="E97" s="29">
        <f t="shared" si="15"/>
        <v>1927.0075255623265</v>
      </c>
      <c r="F97" s="1">
        <f t="shared" si="16"/>
        <v>1927</v>
      </c>
      <c r="G97" s="1">
        <f t="shared" si="14"/>
        <v>1.9778789996053092E-2</v>
      </c>
      <c r="K97" s="1">
        <f t="shared" si="20"/>
        <v>1.9778789996053092E-2</v>
      </c>
      <c r="O97" s="1">
        <f t="shared" ca="1" si="18"/>
        <v>7.0663267232606991E-3</v>
      </c>
      <c r="Q97" s="63">
        <f t="shared" si="19"/>
        <v>35609.980199999998</v>
      </c>
    </row>
    <row r="98" spans="1:17">
      <c r="A98" s="25" t="s">
        <v>104</v>
      </c>
      <c r="B98" s="26" t="s">
        <v>49</v>
      </c>
      <c r="C98" s="27">
        <v>50628.481599999999</v>
      </c>
      <c r="D98" s="30"/>
      <c r="E98" s="29">
        <f t="shared" si="15"/>
        <v>1927.0080582434089</v>
      </c>
      <c r="F98" s="1">
        <f t="shared" si="16"/>
        <v>1927</v>
      </c>
      <c r="G98" s="1">
        <f t="shared" si="14"/>
        <v>2.1178789997065905E-2</v>
      </c>
      <c r="K98" s="1">
        <f t="shared" si="20"/>
        <v>2.1178789997065905E-2</v>
      </c>
      <c r="O98" s="1">
        <f t="shared" ca="1" si="18"/>
        <v>7.0663267232606991E-3</v>
      </c>
      <c r="Q98" s="63">
        <f t="shared" si="19"/>
        <v>35609.981599999999</v>
      </c>
    </row>
    <row r="99" spans="1:17">
      <c r="A99" s="25" t="s">
        <v>104</v>
      </c>
      <c r="B99" s="26" t="s">
        <v>49</v>
      </c>
      <c r="C99" s="27">
        <v>50628.485800000002</v>
      </c>
      <c r="D99" s="30"/>
      <c r="E99" s="29">
        <f t="shared" si="15"/>
        <v>1927.0096562866563</v>
      </c>
      <c r="F99" s="1">
        <f t="shared" si="16"/>
        <v>1927</v>
      </c>
      <c r="G99" s="1">
        <f t="shared" si="14"/>
        <v>2.5378790000104345E-2</v>
      </c>
      <c r="K99" s="1">
        <f t="shared" si="20"/>
        <v>2.5378790000104345E-2</v>
      </c>
      <c r="O99" s="1">
        <f t="shared" ca="1" si="18"/>
        <v>7.0663267232606991E-3</v>
      </c>
      <c r="Q99" s="63">
        <f t="shared" si="19"/>
        <v>35609.985800000002</v>
      </c>
    </row>
    <row r="100" spans="1:17">
      <c r="A100" s="25" t="s">
        <v>104</v>
      </c>
      <c r="B100" s="26" t="s">
        <v>49</v>
      </c>
      <c r="C100" s="27">
        <v>50628.489200000004</v>
      </c>
      <c r="D100" s="30"/>
      <c r="E100" s="29">
        <f t="shared" si="15"/>
        <v>1927.0109499407133</v>
      </c>
      <c r="F100" s="1">
        <f t="shared" si="16"/>
        <v>1927</v>
      </c>
      <c r="G100" s="1">
        <f t="shared" si="14"/>
        <v>2.8778790001524612E-2</v>
      </c>
      <c r="K100" s="1">
        <f t="shared" si="20"/>
        <v>2.8778790001524612E-2</v>
      </c>
      <c r="O100" s="1">
        <f t="shared" ca="1" si="18"/>
        <v>7.0663267232606991E-3</v>
      </c>
      <c r="Q100" s="63">
        <f t="shared" si="19"/>
        <v>35609.989200000004</v>
      </c>
    </row>
    <row r="101" spans="1:17">
      <c r="A101" s="25" t="s">
        <v>105</v>
      </c>
      <c r="B101" s="26" t="s">
        <v>49</v>
      </c>
      <c r="C101" s="27">
        <v>51377.497000000003</v>
      </c>
      <c r="D101" s="30"/>
      <c r="E101" s="29">
        <f t="shared" si="15"/>
        <v>2211.9982966533134</v>
      </c>
      <c r="F101" s="1">
        <f t="shared" si="16"/>
        <v>2212</v>
      </c>
      <c r="G101" s="1">
        <f t="shared" si="14"/>
        <v>-4.4767599974875338E-3</v>
      </c>
      <c r="I101" s="1">
        <f>+G101</f>
        <v>-4.4767599974875338E-3</v>
      </c>
      <c r="O101" s="1">
        <f t="shared" ca="1" si="18"/>
        <v>7.3146413537378812E-3</v>
      </c>
      <c r="Q101" s="63">
        <f t="shared" si="19"/>
        <v>36358.997000000003</v>
      </c>
    </row>
    <row r="102" spans="1:17">
      <c r="A102" s="25" t="s">
        <v>106</v>
      </c>
      <c r="B102" s="26" t="s">
        <v>49</v>
      </c>
      <c r="C102" s="27">
        <v>51456.351000000002</v>
      </c>
      <c r="D102" s="30"/>
      <c r="E102" s="29">
        <f t="shared" si="15"/>
        <v>2242.0011781155295</v>
      </c>
      <c r="F102" s="1">
        <f t="shared" si="16"/>
        <v>2242</v>
      </c>
      <c r="G102" s="1">
        <f t="shared" si="14"/>
        <v>3.0963399985921569E-3</v>
      </c>
      <c r="I102" s="1">
        <f>+G102</f>
        <v>3.0963399985921569E-3</v>
      </c>
      <c r="O102" s="1">
        <f t="shared" ca="1" si="18"/>
        <v>7.3407797358933744E-3</v>
      </c>
      <c r="Q102" s="63">
        <f t="shared" si="19"/>
        <v>36437.851000000002</v>
      </c>
    </row>
    <row r="103" spans="1:17">
      <c r="A103" s="25" t="s">
        <v>107</v>
      </c>
      <c r="B103" s="26" t="s">
        <v>49</v>
      </c>
      <c r="C103" s="27">
        <v>51816.396999999997</v>
      </c>
      <c r="D103" s="30"/>
      <c r="E103" s="29">
        <f t="shared" si="15"/>
        <v>2378.9938158884383</v>
      </c>
      <c r="F103" s="1">
        <f t="shared" si="16"/>
        <v>2379</v>
      </c>
      <c r="G103" s="1">
        <f t="shared" si="14"/>
        <v>-1.6253170004347339E-2</v>
      </c>
      <c r="I103" s="1">
        <f>+G103</f>
        <v>-1.6253170004347339E-2</v>
      </c>
      <c r="O103" s="1">
        <f t="shared" ca="1" si="18"/>
        <v>7.4601450144034572E-3</v>
      </c>
      <c r="Q103" s="63">
        <f t="shared" si="19"/>
        <v>36797.896999999997</v>
      </c>
    </row>
    <row r="104" spans="1:17">
      <c r="A104" s="32" t="s">
        <v>108</v>
      </c>
      <c r="B104" s="38" t="s">
        <v>49</v>
      </c>
      <c r="C104" s="32">
        <v>53251.421000000002</v>
      </c>
      <c r="D104" s="32" t="s">
        <v>34</v>
      </c>
      <c r="E104" s="29">
        <f t="shared" si="15"/>
        <v>2925.0010567060963</v>
      </c>
      <c r="F104" s="1">
        <f t="shared" si="16"/>
        <v>2925</v>
      </c>
      <c r="G104" s="1">
        <f t="shared" si="14"/>
        <v>2.7772499961429276E-3</v>
      </c>
      <c r="I104" s="1">
        <f>+G104</f>
        <v>2.7772499961429276E-3</v>
      </c>
      <c r="O104" s="1">
        <f t="shared" ca="1" si="18"/>
        <v>7.9358635696334268E-3</v>
      </c>
      <c r="Q104" s="63">
        <f t="shared" si="19"/>
        <v>38232.921000000002</v>
      </c>
    </row>
    <row r="105" spans="1:17">
      <c r="A105" s="25" t="s">
        <v>109</v>
      </c>
      <c r="B105" s="26" t="s">
        <v>49</v>
      </c>
      <c r="C105" s="27">
        <v>53611.502999999997</v>
      </c>
      <c r="D105" s="30"/>
      <c r="E105" s="29">
        <f t="shared" si="15"/>
        <v>3062.0073919925444</v>
      </c>
      <c r="F105" s="1">
        <f t="shared" si="16"/>
        <v>3062</v>
      </c>
      <c r="G105" s="1">
        <f t="shared" si="14"/>
        <v>1.9427739993261639E-2</v>
      </c>
      <c r="I105" s="1">
        <f>+G105</f>
        <v>1.9427739993261639E-2</v>
      </c>
      <c r="O105" s="1">
        <f t="shared" ca="1" si="18"/>
        <v>8.0552288481435114E-3</v>
      </c>
      <c r="Q105" s="63">
        <f t="shared" si="19"/>
        <v>38593.002999999997</v>
      </c>
    </row>
    <row r="106" spans="1:17">
      <c r="A106" s="25" t="s">
        <v>110</v>
      </c>
      <c r="B106" s="26" t="s">
        <v>49</v>
      </c>
      <c r="C106" s="27">
        <v>53982.0694</v>
      </c>
      <c r="D106" s="30"/>
      <c r="E106" s="29">
        <f t="shared" si="15"/>
        <v>3203.0028998054686</v>
      </c>
      <c r="F106" s="1">
        <f t="shared" si="16"/>
        <v>3203</v>
      </c>
      <c r="G106" s="1">
        <f t="shared" si="14"/>
        <v>7.6213099964661524E-3</v>
      </c>
      <c r="K106" s="1">
        <f>+G106</f>
        <v>7.6213099964661524E-3</v>
      </c>
      <c r="O106" s="1">
        <f t="shared" ca="1" si="18"/>
        <v>8.1780792442743278E-3</v>
      </c>
      <c r="Q106" s="63">
        <f t="shared" si="19"/>
        <v>38963.5694</v>
      </c>
    </row>
    <row r="107" spans="1:17">
      <c r="A107" s="25" t="s">
        <v>110</v>
      </c>
      <c r="B107" s="26" t="s">
        <v>49</v>
      </c>
      <c r="C107" s="27">
        <v>54003.082999999999</v>
      </c>
      <c r="D107" s="30"/>
      <c r="E107" s="29">
        <f t="shared" si="15"/>
        <v>3210.9982906530399</v>
      </c>
      <c r="F107" s="1">
        <f t="shared" si="16"/>
        <v>3211</v>
      </c>
      <c r="G107" s="1">
        <f t="shared" ref="G107:G112" si="21">+C107-(C$7+F107*C$8)</f>
        <v>-4.492530002607964E-3</v>
      </c>
      <c r="I107" s="1">
        <f>+G107</f>
        <v>-4.492530002607964E-3</v>
      </c>
      <c r="O107" s="1">
        <f t="shared" ca="1" si="18"/>
        <v>8.1850494795157915E-3</v>
      </c>
      <c r="Q107" s="63">
        <f t="shared" si="19"/>
        <v>38984.582999999999</v>
      </c>
    </row>
    <row r="108" spans="1:17">
      <c r="A108" s="25" t="s">
        <v>111</v>
      </c>
      <c r="B108" s="26" t="s">
        <v>49</v>
      </c>
      <c r="C108" s="27">
        <v>54681.1711</v>
      </c>
      <c r="D108" s="30"/>
      <c r="E108" s="29">
        <f t="shared" si="15"/>
        <v>3469.0016498388704</v>
      </c>
      <c r="F108" s="1">
        <f t="shared" si="16"/>
        <v>3469</v>
      </c>
      <c r="G108" s="1">
        <f t="shared" si="21"/>
        <v>4.336129997682292E-3</v>
      </c>
      <c r="K108" s="1">
        <f>+G108</f>
        <v>4.336129997682292E-3</v>
      </c>
      <c r="O108" s="1">
        <f t="shared" ca="1" si="18"/>
        <v>8.4098395660530297E-3</v>
      </c>
      <c r="Q108" s="63">
        <f t="shared" si="19"/>
        <v>39662.6711</v>
      </c>
    </row>
    <row r="109" spans="1:17">
      <c r="A109" s="32" t="s">
        <v>112</v>
      </c>
      <c r="B109" s="38" t="s">
        <v>49</v>
      </c>
      <c r="C109" s="32">
        <v>55803.417999999998</v>
      </c>
      <c r="D109" s="32">
        <v>8.0000000000000002E-3</v>
      </c>
      <c r="E109" s="29">
        <f t="shared" si="15"/>
        <v>3896.0014305987506</v>
      </c>
      <c r="F109" s="1">
        <f t="shared" si="16"/>
        <v>3896</v>
      </c>
      <c r="G109" s="1">
        <f t="shared" si="21"/>
        <v>3.759919993171934E-3</v>
      </c>
      <c r="I109" s="1">
        <f>+G109</f>
        <v>3.759919993171934E-3</v>
      </c>
      <c r="O109" s="1">
        <f t="shared" ca="1" si="18"/>
        <v>8.7818758720662107E-3</v>
      </c>
      <c r="Q109" s="63">
        <f t="shared" si="19"/>
        <v>40784.917999999998</v>
      </c>
    </row>
    <row r="110" spans="1:17">
      <c r="A110" s="25" t="s">
        <v>113</v>
      </c>
      <c r="B110" s="26" t="s">
        <v>49</v>
      </c>
      <c r="C110" s="27">
        <v>55832.326999999997</v>
      </c>
      <c r="D110" s="30"/>
      <c r="E110" s="29">
        <f t="shared" si="15"/>
        <v>3907.000914457416</v>
      </c>
      <c r="F110" s="1">
        <f t="shared" si="16"/>
        <v>3907</v>
      </c>
      <c r="G110" s="1">
        <f t="shared" si="21"/>
        <v>2.4033899899222888E-3</v>
      </c>
      <c r="I110" s="1">
        <f>+G110</f>
        <v>2.4033899899222888E-3</v>
      </c>
      <c r="O110" s="1">
        <f t="shared" ca="1" si="18"/>
        <v>8.7914599455232254E-3</v>
      </c>
      <c r="Q110" s="63">
        <f t="shared" si="19"/>
        <v>40813.826999999997</v>
      </c>
    </row>
    <row r="111" spans="1:17">
      <c r="A111" s="32" t="s">
        <v>112</v>
      </c>
      <c r="B111" s="38" t="s">
        <v>49</v>
      </c>
      <c r="C111" s="32">
        <v>55832.33</v>
      </c>
      <c r="D111" s="32">
        <v>8.0000000000000002E-3</v>
      </c>
      <c r="E111" s="29">
        <f t="shared" si="15"/>
        <v>3907.0020559168793</v>
      </c>
      <c r="F111" s="1">
        <f t="shared" si="16"/>
        <v>3907</v>
      </c>
      <c r="G111" s="1">
        <f t="shared" si="21"/>
        <v>5.4033899941714481E-3</v>
      </c>
      <c r="I111" s="1">
        <f>+G111</f>
        <v>5.4033899941714481E-3</v>
      </c>
      <c r="O111" s="1">
        <f t="shared" ca="1" si="18"/>
        <v>8.7914599455232254E-3</v>
      </c>
      <c r="Q111" s="63">
        <f t="shared" si="19"/>
        <v>40813.83</v>
      </c>
    </row>
    <row r="112" spans="1:17">
      <c r="A112" s="39" t="s">
        <v>114</v>
      </c>
      <c r="B112" s="40"/>
      <c r="C112" s="39">
        <v>56510.4113</v>
      </c>
      <c r="D112" s="39">
        <v>4.4999999999999999E-4</v>
      </c>
      <c r="E112" s="29">
        <f t="shared" si="15"/>
        <v>4165.0028277945958</v>
      </c>
      <c r="F112" s="1">
        <f t="shared" si="16"/>
        <v>4165</v>
      </c>
      <c r="G112" s="1">
        <f t="shared" si="21"/>
        <v>7.4320499988971278E-3</v>
      </c>
      <c r="K112" s="1">
        <f>+G112</f>
        <v>7.4320499988971278E-3</v>
      </c>
      <c r="O112" s="1">
        <f t="shared" ca="1" si="18"/>
        <v>9.0162500320604636E-3</v>
      </c>
      <c r="Q112" s="63">
        <f t="shared" si="19"/>
        <v>41491.9113</v>
      </c>
    </row>
    <row r="113" spans="1:17">
      <c r="A113" s="41" t="s">
        <v>115</v>
      </c>
      <c r="B113" s="42" t="s">
        <v>49</v>
      </c>
      <c r="C113" s="43">
        <v>57238.406499999997</v>
      </c>
      <c r="D113" s="44">
        <v>0.01</v>
      </c>
      <c r="E113" s="29">
        <f t="shared" ref="E113:E118" si="22">+(C113-C$7)/C$8</f>
        <v>4441.9951641461103</v>
      </c>
      <c r="F113" s="1">
        <f t="shared" si="16"/>
        <v>4442</v>
      </c>
      <c r="G113" s="1">
        <f t="shared" ref="G113:G118" si="23">+C113-(C$7+F113*C$8)</f>
        <v>-1.2709660004475154E-2</v>
      </c>
      <c r="I113" s="1">
        <f>+G113</f>
        <v>-1.2709660004475154E-2</v>
      </c>
      <c r="O113" s="1">
        <f t="shared" ref="O113:O118" ca="1" si="24">+C$11+C$12*$F113</f>
        <v>9.2575944272961803E-3</v>
      </c>
      <c r="Q113" s="63">
        <f t="shared" ref="Q113:Q118" si="25">+C113-15018.5</f>
        <v>42219.906499999997</v>
      </c>
    </row>
    <row r="114" spans="1:17">
      <c r="A114" s="41" t="s">
        <v>115</v>
      </c>
      <c r="B114" s="42" t="s">
        <v>49</v>
      </c>
      <c r="C114" s="43">
        <v>56962.4617</v>
      </c>
      <c r="D114" s="44">
        <v>8.9999999999999993E-3</v>
      </c>
      <c r="E114" s="29">
        <f t="shared" si="22"/>
        <v>4337.0018965310892</v>
      </c>
      <c r="F114" s="1">
        <f t="shared" si="16"/>
        <v>4337</v>
      </c>
      <c r="G114" s="1">
        <f t="shared" si="23"/>
        <v>4.984489998605568E-3</v>
      </c>
      <c r="I114" s="1">
        <f>+G114</f>
        <v>4.984489998605568E-3</v>
      </c>
      <c r="O114" s="1">
        <f t="shared" ca="1" si="24"/>
        <v>9.1661100897519558E-3</v>
      </c>
      <c r="Q114" s="63">
        <f t="shared" si="25"/>
        <v>41943.9617</v>
      </c>
    </row>
    <row r="115" spans="1:17">
      <c r="A115" s="41" t="s">
        <v>115</v>
      </c>
      <c r="B115" s="42" t="s">
        <v>49</v>
      </c>
      <c r="C115" s="43">
        <v>56949.326000000001</v>
      </c>
      <c r="D115" s="44">
        <v>0.02</v>
      </c>
      <c r="E115" s="29">
        <f t="shared" si="22"/>
        <v>4332.0039401810855</v>
      </c>
      <c r="F115" s="1">
        <f t="shared" si="16"/>
        <v>4332</v>
      </c>
      <c r="G115" s="1">
        <f t="shared" si="23"/>
        <v>1.0355639999033883E-2</v>
      </c>
      <c r="I115" s="1">
        <f>+G115</f>
        <v>1.0355639999033883E-2</v>
      </c>
      <c r="O115" s="1">
        <f t="shared" ca="1" si="24"/>
        <v>9.1617536927260396E-3</v>
      </c>
      <c r="Q115" s="63">
        <f t="shared" si="25"/>
        <v>41930.826000000001</v>
      </c>
    </row>
    <row r="116" spans="1:17">
      <c r="A116" s="41" t="s">
        <v>115</v>
      </c>
      <c r="B116" s="42" t="s">
        <v>49</v>
      </c>
      <c r="C116" s="43">
        <v>56920.425000000003</v>
      </c>
      <c r="D116" s="44">
        <v>0.02</v>
      </c>
      <c r="E116" s="29">
        <f t="shared" si="22"/>
        <v>4321.0075002143185</v>
      </c>
      <c r="F116" s="1">
        <f t="shared" si="16"/>
        <v>4321</v>
      </c>
      <c r="G116" s="1">
        <f t="shared" si="23"/>
        <v>1.9712169996637385E-2</v>
      </c>
      <c r="I116" s="1">
        <f>+G116</f>
        <v>1.9712169996637385E-2</v>
      </c>
      <c r="O116" s="1">
        <f t="shared" ca="1" si="24"/>
        <v>9.1521696192690266E-3</v>
      </c>
      <c r="Q116" s="63">
        <f t="shared" si="25"/>
        <v>41901.925000000003</v>
      </c>
    </row>
    <row r="117" spans="1:17">
      <c r="A117" s="45" t="s">
        <v>116</v>
      </c>
      <c r="B117" s="46" t="s">
        <v>49</v>
      </c>
      <c r="C117" s="47">
        <v>56967.727299999999</v>
      </c>
      <c r="D117" s="47">
        <v>2.9999999999999997E-4</v>
      </c>
      <c r="E117" s="29">
        <f t="shared" si="22"/>
        <v>4339.0053861781253</v>
      </c>
      <c r="F117" s="1">
        <f t="shared" si="16"/>
        <v>4339</v>
      </c>
      <c r="G117" s="1">
        <f t="shared" si="23"/>
        <v>1.4156029996229336E-2</v>
      </c>
      <c r="K117" s="1">
        <f>+G117</f>
        <v>1.4156029996229336E-2</v>
      </c>
      <c r="O117" s="1">
        <f t="shared" ca="1" si="24"/>
        <v>9.1678526485623208E-3</v>
      </c>
      <c r="Q117" s="63">
        <f t="shared" si="25"/>
        <v>41949.227299999999</v>
      </c>
    </row>
    <row r="118" spans="1:17">
      <c r="A118" s="45" t="s">
        <v>116</v>
      </c>
      <c r="B118" s="46" t="s">
        <v>49</v>
      </c>
      <c r="C118" s="47">
        <v>57306.762000000002</v>
      </c>
      <c r="D118" s="47">
        <v>2.0000000000000001E-4</v>
      </c>
      <c r="E118" s="29">
        <f t="shared" si="22"/>
        <v>4468.0035082223867</v>
      </c>
      <c r="F118" s="1">
        <f t="shared" si="16"/>
        <v>4468</v>
      </c>
      <c r="G118" s="1">
        <f t="shared" si="23"/>
        <v>9.2203599997446872E-3</v>
      </c>
      <c r="K118" s="1">
        <f>+G118</f>
        <v>9.2203599997446872E-3</v>
      </c>
      <c r="O118" s="1">
        <f t="shared" ca="1" si="24"/>
        <v>9.2802476918309399E-3</v>
      </c>
      <c r="Q118" s="63">
        <f t="shared" si="25"/>
        <v>42288.262000000002</v>
      </c>
    </row>
    <row r="119" spans="1:17">
      <c r="A119" s="48" t="s">
        <v>117</v>
      </c>
      <c r="B119" s="49" t="s">
        <v>49</v>
      </c>
      <c r="C119" s="50">
        <v>58042.6613</v>
      </c>
      <c r="D119" s="50">
        <v>2.0000000000000001E-4</v>
      </c>
      <c r="E119" s="29">
        <f>+(C119-C$7)/C$8</f>
        <v>4748.0032478174335</v>
      </c>
      <c r="F119" s="1">
        <f>ROUND(2*E119,0)/2</f>
        <v>4748</v>
      </c>
      <c r="G119" s="1">
        <f>+C119-(C$7+F119*C$8)</f>
        <v>8.5359599979710765E-3</v>
      </c>
      <c r="K119" s="1">
        <f>+G119</f>
        <v>8.5359599979710765E-3</v>
      </c>
      <c r="O119" s="1">
        <f ca="1">+C$11+C$12*$F119</f>
        <v>9.5242059252822059E-3</v>
      </c>
      <c r="Q119" s="63">
        <f>+C119-15018.5</f>
        <v>43024.1613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opLeftCell="A63" workbookViewId="0">
      <selection activeCell="A47" sqref="A47"/>
    </sheetView>
  </sheetViews>
  <sheetFormatPr defaultRowHeight="12.75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1" t="s">
        <v>118</v>
      </c>
      <c r="I1" s="52" t="s">
        <v>119</v>
      </c>
      <c r="J1" s="53" t="s">
        <v>36</v>
      </c>
    </row>
    <row r="2" spans="1:16">
      <c r="I2" s="54" t="s">
        <v>120</v>
      </c>
      <c r="J2" s="55" t="s">
        <v>35</v>
      </c>
    </row>
    <row r="3" spans="1:16">
      <c r="A3" s="56" t="s">
        <v>121</v>
      </c>
      <c r="I3" s="54" t="s">
        <v>122</v>
      </c>
      <c r="J3" s="55" t="s">
        <v>33</v>
      </c>
    </row>
    <row r="4" spans="1:16">
      <c r="I4" s="54" t="s">
        <v>123</v>
      </c>
      <c r="J4" s="55" t="s">
        <v>33</v>
      </c>
    </row>
    <row r="5" spans="1:16">
      <c r="I5" s="57" t="s">
        <v>124</v>
      </c>
      <c r="J5" s="58" t="s">
        <v>34</v>
      </c>
    </row>
    <row r="11" spans="1:16" ht="12.75" customHeight="1">
      <c r="A11" s="30" t="str">
        <f t="shared" ref="A11:A42" si="0">P11</f>
        <v>IBVS 844 </v>
      </c>
      <c r="B11" s="16" t="str">
        <f t="shared" ref="B11:B42" si="1">IF(H11=INT(H11),"I","II")</f>
        <v>I</v>
      </c>
      <c r="C11" s="30">
        <f t="shared" ref="C11:C42" si="2">1*G11</f>
        <v>41174.772599999997</v>
      </c>
      <c r="D11" t="str">
        <f t="shared" ref="D11:D42" si="3">VLOOKUP(F11,I$1:J$5,2,FALSE)</f>
        <v>vis</v>
      </c>
      <c r="E11">
        <f>VLOOKUP(C11,Active!C$21:E$972,3,FALSE)</f>
        <v>-1670.0004702432518</v>
      </c>
      <c r="F11" s="16" t="s">
        <v>124</v>
      </c>
      <c r="G11" t="str">
        <f t="shared" ref="G11:G42" si="4">MID(I11,3,LEN(I11)-3)</f>
        <v>41174.7726</v>
      </c>
      <c r="H11" s="30">
        <f t="shared" ref="H11:H42" si="5">1*K11</f>
        <v>-1670</v>
      </c>
      <c r="I11" s="59" t="s">
        <v>125</v>
      </c>
      <c r="J11" s="60" t="s">
        <v>126</v>
      </c>
      <c r="K11" s="59">
        <v>-1670</v>
      </c>
      <c r="L11" s="59" t="s">
        <v>127</v>
      </c>
      <c r="M11" s="60" t="s">
        <v>128</v>
      </c>
      <c r="N11" s="60" t="s">
        <v>129</v>
      </c>
      <c r="O11" s="61" t="s">
        <v>130</v>
      </c>
      <c r="P11" s="62" t="s">
        <v>131</v>
      </c>
    </row>
    <row r="12" spans="1:16" ht="12.75" customHeight="1">
      <c r="A12" s="30" t="str">
        <f t="shared" si="0"/>
        <v>IBVS 740 </v>
      </c>
      <c r="B12" s="16" t="str">
        <f t="shared" si="1"/>
        <v>II</v>
      </c>
      <c r="C12" s="30">
        <f t="shared" si="2"/>
        <v>41559.493999999999</v>
      </c>
      <c r="D12" t="str">
        <f t="shared" si="3"/>
        <v>vis</v>
      </c>
      <c r="E12">
        <f>VLOOKUP(C12,Active!C$21:E$972,3,FALSE)</f>
        <v>-1523.6191762039139</v>
      </c>
      <c r="F12" s="16" t="s">
        <v>124</v>
      </c>
      <c r="G12" t="str">
        <f t="shared" si="4"/>
        <v>41559.494</v>
      </c>
      <c r="H12" s="30">
        <f t="shared" si="5"/>
        <v>-1523.5</v>
      </c>
      <c r="I12" s="59" t="s">
        <v>132</v>
      </c>
      <c r="J12" s="60" t="s">
        <v>133</v>
      </c>
      <c r="K12" s="59">
        <v>-1523.5</v>
      </c>
      <c r="L12" s="59" t="s">
        <v>134</v>
      </c>
      <c r="M12" s="60" t="s">
        <v>135</v>
      </c>
      <c r="N12" s="60"/>
      <c r="O12" s="61" t="s">
        <v>136</v>
      </c>
      <c r="P12" s="62" t="s">
        <v>137</v>
      </c>
    </row>
    <row r="13" spans="1:16" ht="12.75" customHeight="1">
      <c r="A13" s="30" t="str">
        <f t="shared" si="0"/>
        <v> BBS 17 </v>
      </c>
      <c r="B13" s="16" t="str">
        <f t="shared" si="1"/>
        <v>I</v>
      </c>
      <c r="C13" s="30">
        <f t="shared" si="2"/>
        <v>42286.523999999998</v>
      </c>
      <c r="D13" t="str">
        <f t="shared" si="3"/>
        <v>vis</v>
      </c>
      <c r="E13">
        <f>VLOOKUP(C13,Active!C$21:E$972,3,FALSE)</f>
        <v>-1246.9940854098506</v>
      </c>
      <c r="F13" s="16" t="s">
        <v>124</v>
      </c>
      <c r="G13" t="str">
        <f t="shared" si="4"/>
        <v>42286.524</v>
      </c>
      <c r="H13" s="30">
        <f t="shared" si="5"/>
        <v>-1247</v>
      </c>
      <c r="I13" s="59" t="s">
        <v>138</v>
      </c>
      <c r="J13" s="60" t="s">
        <v>139</v>
      </c>
      <c r="K13" s="59">
        <v>-1247</v>
      </c>
      <c r="L13" s="59" t="s">
        <v>140</v>
      </c>
      <c r="M13" s="60" t="s">
        <v>135</v>
      </c>
      <c r="N13" s="60"/>
      <c r="O13" s="61" t="s">
        <v>141</v>
      </c>
      <c r="P13" s="61" t="s">
        <v>142</v>
      </c>
    </row>
    <row r="14" spans="1:16" ht="12.75" customHeight="1">
      <c r="A14" s="30" t="str">
        <f t="shared" si="0"/>
        <v> BBS 32 </v>
      </c>
      <c r="B14" s="16" t="str">
        <f t="shared" si="1"/>
        <v>I</v>
      </c>
      <c r="C14" s="30">
        <f t="shared" si="2"/>
        <v>43093.368000000002</v>
      </c>
      <c r="D14" t="str">
        <f t="shared" si="3"/>
        <v>vis</v>
      </c>
      <c r="E14">
        <f>VLOOKUP(C14,Active!C$21:E$972,3,FALSE)</f>
        <v>-940.00084612585033</v>
      </c>
      <c r="F14" s="16" t="s">
        <v>124</v>
      </c>
      <c r="G14" t="str">
        <f t="shared" si="4"/>
        <v>43093.368</v>
      </c>
      <c r="H14" s="30">
        <f t="shared" si="5"/>
        <v>-940</v>
      </c>
      <c r="I14" s="59" t="s">
        <v>143</v>
      </c>
      <c r="J14" s="60" t="s">
        <v>144</v>
      </c>
      <c r="K14" s="59">
        <v>-940</v>
      </c>
      <c r="L14" s="59" t="s">
        <v>145</v>
      </c>
      <c r="M14" s="60" t="s">
        <v>135</v>
      </c>
      <c r="N14" s="60"/>
      <c r="O14" s="61" t="s">
        <v>146</v>
      </c>
      <c r="P14" s="61" t="s">
        <v>147</v>
      </c>
    </row>
    <row r="15" spans="1:16" ht="12.75" customHeight="1">
      <c r="A15" s="30" t="str">
        <f t="shared" si="0"/>
        <v> BBS 35 </v>
      </c>
      <c r="B15" s="16" t="str">
        <f t="shared" si="1"/>
        <v>I</v>
      </c>
      <c r="C15" s="30">
        <f t="shared" si="2"/>
        <v>43382.466999999997</v>
      </c>
      <c r="D15" t="str">
        <f t="shared" si="3"/>
        <v>vis</v>
      </c>
      <c r="E15">
        <f>VLOOKUP(C15,Active!C$21:E$972,3,FALSE)</f>
        <v>-830.00258316081238</v>
      </c>
      <c r="F15" s="16" t="s">
        <v>124</v>
      </c>
      <c r="G15" t="str">
        <f t="shared" si="4"/>
        <v>43382.467</v>
      </c>
      <c r="H15" s="30">
        <f t="shared" si="5"/>
        <v>-830</v>
      </c>
      <c r="I15" s="59" t="s">
        <v>148</v>
      </c>
      <c r="J15" s="60" t="s">
        <v>149</v>
      </c>
      <c r="K15" s="59">
        <v>-830</v>
      </c>
      <c r="L15" s="59" t="s">
        <v>150</v>
      </c>
      <c r="M15" s="60" t="s">
        <v>135</v>
      </c>
      <c r="N15" s="60"/>
      <c r="O15" s="61" t="s">
        <v>151</v>
      </c>
      <c r="P15" s="61" t="s">
        <v>152</v>
      </c>
    </row>
    <row r="16" spans="1:16" ht="12.75" customHeight="1">
      <c r="A16" s="30" t="str">
        <f t="shared" si="0"/>
        <v> BBS 35 </v>
      </c>
      <c r="B16" s="16" t="str">
        <f t="shared" si="1"/>
        <v>I</v>
      </c>
      <c r="C16" s="30">
        <f t="shared" si="2"/>
        <v>43390.374000000003</v>
      </c>
      <c r="D16" t="str">
        <f t="shared" si="3"/>
        <v>vis</v>
      </c>
      <c r="E16">
        <f>VLOOKUP(C16,Active!C$21:E$972,3,FALSE)</f>
        <v>-826.99407650646469</v>
      </c>
      <c r="F16" s="16" t="s">
        <v>124</v>
      </c>
      <c r="G16" t="str">
        <f t="shared" si="4"/>
        <v>43390.374</v>
      </c>
      <c r="H16" s="30">
        <f t="shared" si="5"/>
        <v>-827</v>
      </c>
      <c r="I16" s="59" t="s">
        <v>153</v>
      </c>
      <c r="J16" s="60" t="s">
        <v>154</v>
      </c>
      <c r="K16" s="59">
        <v>-827</v>
      </c>
      <c r="L16" s="59" t="s">
        <v>140</v>
      </c>
      <c r="M16" s="60" t="s">
        <v>135</v>
      </c>
      <c r="N16" s="60"/>
      <c r="O16" s="61" t="s">
        <v>151</v>
      </c>
      <c r="P16" s="61" t="s">
        <v>152</v>
      </c>
    </row>
    <row r="17" spans="1:16" ht="12.75" customHeight="1">
      <c r="A17" s="30" t="str">
        <f t="shared" si="0"/>
        <v> BBS 40 </v>
      </c>
      <c r="B17" s="16" t="str">
        <f t="shared" si="1"/>
        <v>I</v>
      </c>
      <c r="C17" s="30">
        <f t="shared" si="2"/>
        <v>43771.457999999999</v>
      </c>
      <c r="D17" t="str">
        <f t="shared" si="3"/>
        <v>vis</v>
      </c>
      <c r="E17">
        <f>VLOOKUP(C17,Active!C$21:E$972,3,FALSE)</f>
        <v>-681.99676401569582</v>
      </c>
      <c r="F17" s="16" t="s">
        <v>124</v>
      </c>
      <c r="G17" t="str">
        <f t="shared" si="4"/>
        <v>43771.458</v>
      </c>
      <c r="H17" s="30">
        <f t="shared" si="5"/>
        <v>-682</v>
      </c>
      <c r="I17" s="59" t="s">
        <v>155</v>
      </c>
      <c r="J17" s="60" t="s">
        <v>156</v>
      </c>
      <c r="K17" s="59">
        <v>-682</v>
      </c>
      <c r="L17" s="59" t="s">
        <v>157</v>
      </c>
      <c r="M17" s="60" t="s">
        <v>135</v>
      </c>
      <c r="N17" s="60"/>
      <c r="O17" s="61" t="s">
        <v>158</v>
      </c>
      <c r="P17" s="61" t="s">
        <v>159</v>
      </c>
    </row>
    <row r="18" spans="1:16" ht="12.75" customHeight="1">
      <c r="A18" s="30" t="str">
        <f t="shared" si="0"/>
        <v> BBS 39 </v>
      </c>
      <c r="B18" s="16" t="str">
        <f t="shared" si="1"/>
        <v>I</v>
      </c>
      <c r="C18" s="30">
        <f t="shared" si="2"/>
        <v>43779.338000000003</v>
      </c>
      <c r="D18" t="str">
        <f t="shared" si="3"/>
        <v>vis</v>
      </c>
      <c r="E18">
        <f>VLOOKUP(C18,Active!C$21:E$972,3,FALSE)</f>
        <v>-678.99853049650335</v>
      </c>
      <c r="F18" s="16" t="s">
        <v>124</v>
      </c>
      <c r="G18" t="str">
        <f t="shared" si="4"/>
        <v>43779.338</v>
      </c>
      <c r="H18" s="30">
        <f t="shared" si="5"/>
        <v>-679</v>
      </c>
      <c r="I18" s="59" t="s">
        <v>160</v>
      </c>
      <c r="J18" s="60" t="s">
        <v>161</v>
      </c>
      <c r="K18" s="59">
        <v>-679</v>
      </c>
      <c r="L18" s="59" t="s">
        <v>162</v>
      </c>
      <c r="M18" s="60" t="s">
        <v>135</v>
      </c>
      <c r="N18" s="60"/>
      <c r="O18" s="61" t="s">
        <v>163</v>
      </c>
      <c r="P18" s="61" t="s">
        <v>164</v>
      </c>
    </row>
    <row r="19" spans="1:16" ht="12.75" customHeight="1">
      <c r="A19" s="30" t="str">
        <f t="shared" si="0"/>
        <v> BBS 42 </v>
      </c>
      <c r="B19" s="16" t="str">
        <f t="shared" si="1"/>
        <v>I</v>
      </c>
      <c r="C19" s="30">
        <f t="shared" si="2"/>
        <v>43829.254999999997</v>
      </c>
      <c r="D19" t="str">
        <f t="shared" si="3"/>
        <v>vis</v>
      </c>
      <c r="E19">
        <f>VLOOKUP(C19,Active!C$21:E$972,3,FALSE)</f>
        <v>-660.00578651459671</v>
      </c>
      <c r="F19" s="16" t="s">
        <v>124</v>
      </c>
      <c r="G19" t="str">
        <f t="shared" si="4"/>
        <v>43829.255</v>
      </c>
      <c r="H19" s="30">
        <f t="shared" si="5"/>
        <v>-660</v>
      </c>
      <c r="I19" s="59" t="s">
        <v>165</v>
      </c>
      <c r="J19" s="60" t="s">
        <v>166</v>
      </c>
      <c r="K19" s="59">
        <v>-660</v>
      </c>
      <c r="L19" s="59" t="s">
        <v>167</v>
      </c>
      <c r="M19" s="60" t="s">
        <v>135</v>
      </c>
      <c r="N19" s="60"/>
      <c r="O19" s="61" t="s">
        <v>168</v>
      </c>
      <c r="P19" s="61" t="s">
        <v>169</v>
      </c>
    </row>
    <row r="20" spans="1:16" ht="12.75" customHeight="1">
      <c r="A20" s="30" t="str">
        <f t="shared" si="0"/>
        <v> BBS 45 </v>
      </c>
      <c r="B20" s="16" t="str">
        <f t="shared" si="1"/>
        <v>I</v>
      </c>
      <c r="C20" s="30">
        <f t="shared" si="2"/>
        <v>44097.356</v>
      </c>
      <c r="D20" t="str">
        <f t="shared" si="3"/>
        <v>vis</v>
      </c>
      <c r="E20">
        <f>VLOOKUP(C20,Active!C$21:E$972,3,FALSE)</f>
        <v>-557.99697880792723</v>
      </c>
      <c r="F20" s="16" t="s">
        <v>124</v>
      </c>
      <c r="G20" t="str">
        <f t="shared" si="4"/>
        <v>44097.356</v>
      </c>
      <c r="H20" s="30">
        <f t="shared" si="5"/>
        <v>-558</v>
      </c>
      <c r="I20" s="59" t="s">
        <v>170</v>
      </c>
      <c r="J20" s="60" t="s">
        <v>171</v>
      </c>
      <c r="K20" s="59">
        <v>-558</v>
      </c>
      <c r="L20" s="59" t="s">
        <v>172</v>
      </c>
      <c r="M20" s="60" t="s">
        <v>135</v>
      </c>
      <c r="N20" s="60"/>
      <c r="O20" s="61" t="s">
        <v>168</v>
      </c>
      <c r="P20" s="61" t="s">
        <v>173</v>
      </c>
    </row>
    <row r="21" spans="1:16" ht="12.75" customHeight="1">
      <c r="A21" s="30" t="str">
        <f t="shared" si="0"/>
        <v> BBS 46 </v>
      </c>
      <c r="B21" s="16" t="str">
        <f t="shared" si="1"/>
        <v>I</v>
      </c>
      <c r="C21" s="30">
        <f t="shared" si="2"/>
        <v>44118.394</v>
      </c>
      <c r="D21" t="str">
        <f t="shared" si="3"/>
        <v>vis</v>
      </c>
      <c r="E21">
        <f>VLOOKUP(C21,Active!C$21:E$972,3,FALSE)</f>
        <v>-549.99230409006736</v>
      </c>
      <c r="F21" s="16" t="s">
        <v>124</v>
      </c>
      <c r="G21" t="str">
        <f t="shared" si="4"/>
        <v>44118.394</v>
      </c>
      <c r="H21" s="30">
        <f t="shared" si="5"/>
        <v>-550</v>
      </c>
      <c r="I21" s="59" t="s">
        <v>174</v>
      </c>
      <c r="J21" s="60" t="s">
        <v>175</v>
      </c>
      <c r="K21" s="59">
        <v>-550</v>
      </c>
      <c r="L21" s="59" t="s">
        <v>176</v>
      </c>
      <c r="M21" s="60" t="s">
        <v>135</v>
      </c>
      <c r="N21" s="60"/>
      <c r="O21" s="61" t="s">
        <v>177</v>
      </c>
      <c r="P21" s="61" t="s">
        <v>178</v>
      </c>
    </row>
    <row r="22" spans="1:16" ht="12.75" customHeight="1">
      <c r="A22" s="30" t="str">
        <f t="shared" si="0"/>
        <v> BBS 46 </v>
      </c>
      <c r="B22" s="16" t="str">
        <f t="shared" si="1"/>
        <v>I</v>
      </c>
      <c r="C22" s="30">
        <f t="shared" si="2"/>
        <v>44189.341</v>
      </c>
      <c r="D22" t="str">
        <f t="shared" si="3"/>
        <v>vis</v>
      </c>
      <c r="E22">
        <f>VLOOKUP(C22,Active!C$21:E$972,3,FALSE)</f>
        <v>-522.99792928219642</v>
      </c>
      <c r="F22" s="16" t="s">
        <v>124</v>
      </c>
      <c r="G22" t="str">
        <f t="shared" si="4"/>
        <v>44189.341</v>
      </c>
      <c r="H22" s="30">
        <f t="shared" si="5"/>
        <v>-523</v>
      </c>
      <c r="I22" s="59" t="s">
        <v>179</v>
      </c>
      <c r="J22" s="60" t="s">
        <v>180</v>
      </c>
      <c r="K22" s="59">
        <v>-523</v>
      </c>
      <c r="L22" s="59" t="s">
        <v>181</v>
      </c>
      <c r="M22" s="60" t="s">
        <v>135</v>
      </c>
      <c r="N22" s="60"/>
      <c r="O22" s="61" t="s">
        <v>163</v>
      </c>
      <c r="P22" s="61" t="s">
        <v>178</v>
      </c>
    </row>
    <row r="23" spans="1:16" ht="12.75" customHeight="1">
      <c r="A23" s="30" t="str">
        <f t="shared" si="0"/>
        <v> BBS 45 </v>
      </c>
      <c r="B23" s="16" t="str">
        <f t="shared" si="1"/>
        <v>I</v>
      </c>
      <c r="C23" s="30">
        <f t="shared" si="2"/>
        <v>44189.345999999998</v>
      </c>
      <c r="D23" t="str">
        <f t="shared" si="3"/>
        <v>vis</v>
      </c>
      <c r="E23">
        <f>VLOOKUP(C23,Active!C$21:E$972,3,FALSE)</f>
        <v>-522.99602684976139</v>
      </c>
      <c r="F23" s="16" t="s">
        <v>124</v>
      </c>
      <c r="G23" t="str">
        <f t="shared" si="4"/>
        <v>44189.346</v>
      </c>
      <c r="H23" s="30">
        <f t="shared" si="5"/>
        <v>-523</v>
      </c>
      <c r="I23" s="59" t="s">
        <v>182</v>
      </c>
      <c r="J23" s="60" t="s">
        <v>183</v>
      </c>
      <c r="K23" s="59">
        <v>-523</v>
      </c>
      <c r="L23" s="59" t="s">
        <v>184</v>
      </c>
      <c r="M23" s="60" t="s">
        <v>135</v>
      </c>
      <c r="N23" s="60"/>
      <c r="O23" s="61" t="s">
        <v>185</v>
      </c>
      <c r="P23" s="61" t="s">
        <v>173</v>
      </c>
    </row>
    <row r="24" spans="1:16" ht="12.75" customHeight="1">
      <c r="A24" s="30" t="str">
        <f t="shared" si="0"/>
        <v>IBVS 2545 </v>
      </c>
      <c r="B24" s="16" t="str">
        <f t="shared" si="1"/>
        <v>I</v>
      </c>
      <c r="C24" s="30">
        <f t="shared" si="2"/>
        <v>44475.813999999998</v>
      </c>
      <c r="D24" t="str">
        <f t="shared" si="3"/>
        <v>vis</v>
      </c>
      <c r="E24">
        <f>VLOOKUP(C24,Active!C$21:E$972,3,FALSE)</f>
        <v>-413.99882383256255</v>
      </c>
      <c r="F24" s="16" t="s">
        <v>124</v>
      </c>
      <c r="G24" t="str">
        <f t="shared" si="4"/>
        <v>44475.8140</v>
      </c>
      <c r="H24" s="30">
        <f t="shared" si="5"/>
        <v>-414</v>
      </c>
      <c r="I24" s="59" t="s">
        <v>186</v>
      </c>
      <c r="J24" s="60" t="s">
        <v>187</v>
      </c>
      <c r="K24" s="59">
        <v>-414</v>
      </c>
      <c r="L24" s="59" t="s">
        <v>188</v>
      </c>
      <c r="M24" s="60" t="s">
        <v>128</v>
      </c>
      <c r="N24" s="60" t="s">
        <v>129</v>
      </c>
      <c r="O24" s="61" t="s">
        <v>189</v>
      </c>
      <c r="P24" s="62" t="s">
        <v>190</v>
      </c>
    </row>
    <row r="25" spans="1:16" ht="12.75" customHeight="1">
      <c r="A25" s="30" t="str">
        <f t="shared" si="0"/>
        <v> BBS 50 </v>
      </c>
      <c r="B25" s="16" t="str">
        <f t="shared" si="1"/>
        <v>I</v>
      </c>
      <c r="C25" s="30">
        <f t="shared" si="2"/>
        <v>44486.337</v>
      </c>
      <c r="D25" t="str">
        <f t="shared" si="3"/>
        <v>vis</v>
      </c>
      <c r="E25">
        <f>VLOOKUP(C25,Active!C$21:E$972,3,FALSE)</f>
        <v>-409.99496452768352</v>
      </c>
      <c r="F25" s="16" t="s">
        <v>124</v>
      </c>
      <c r="G25" t="str">
        <f t="shared" si="4"/>
        <v>44486.337</v>
      </c>
      <c r="H25" s="30">
        <f t="shared" si="5"/>
        <v>-410</v>
      </c>
      <c r="I25" s="59" t="s">
        <v>191</v>
      </c>
      <c r="J25" s="60" t="s">
        <v>192</v>
      </c>
      <c r="K25" s="59">
        <v>-410</v>
      </c>
      <c r="L25" s="59" t="s">
        <v>193</v>
      </c>
      <c r="M25" s="60" t="s">
        <v>135</v>
      </c>
      <c r="N25" s="60"/>
      <c r="O25" s="61" t="s">
        <v>185</v>
      </c>
      <c r="P25" s="61" t="s">
        <v>194</v>
      </c>
    </row>
    <row r="26" spans="1:16" ht="12.75" customHeight="1">
      <c r="A26" s="30" t="str">
        <f t="shared" si="0"/>
        <v>IBVS 2545 </v>
      </c>
      <c r="B26" s="16" t="str">
        <f t="shared" si="1"/>
        <v>II</v>
      </c>
      <c r="C26" s="30">
        <f t="shared" si="2"/>
        <v>45546.820200000002</v>
      </c>
      <c r="D26" t="str">
        <f t="shared" si="3"/>
        <v>vis</v>
      </c>
      <c r="E26">
        <f>VLOOKUP(C26,Active!C$21:E$972,3,FALSE)</f>
        <v>-6.4954370177048775</v>
      </c>
      <c r="F26" s="16" t="s">
        <v>124</v>
      </c>
      <c r="G26" t="str">
        <f t="shared" si="4"/>
        <v>45546.8202</v>
      </c>
      <c r="H26" s="30">
        <f t="shared" si="5"/>
        <v>-6.5</v>
      </c>
      <c r="I26" s="59" t="s">
        <v>195</v>
      </c>
      <c r="J26" s="60" t="s">
        <v>196</v>
      </c>
      <c r="K26" s="59">
        <v>-6.5</v>
      </c>
      <c r="L26" s="59" t="s">
        <v>197</v>
      </c>
      <c r="M26" s="60" t="s">
        <v>128</v>
      </c>
      <c r="N26" s="60" t="s">
        <v>129</v>
      </c>
      <c r="O26" s="61" t="s">
        <v>198</v>
      </c>
      <c r="P26" s="62" t="s">
        <v>190</v>
      </c>
    </row>
    <row r="27" spans="1:16" ht="12.75" customHeight="1">
      <c r="A27" s="30" t="str">
        <f t="shared" si="0"/>
        <v>IBVS 2545 </v>
      </c>
      <c r="B27" s="16" t="str">
        <f t="shared" si="1"/>
        <v>I</v>
      </c>
      <c r="C27" s="30">
        <f t="shared" si="2"/>
        <v>45563.891600000003</v>
      </c>
      <c r="D27" t="str">
        <f t="shared" si="3"/>
        <v>vis</v>
      </c>
      <c r="E27">
        <f>VLOOKUP(C27,Active!C$21:E$972,3,FALSE)</f>
        <v>0</v>
      </c>
      <c r="F27" s="16" t="s">
        <v>124</v>
      </c>
      <c r="G27" t="str">
        <f t="shared" si="4"/>
        <v>45563.8916</v>
      </c>
      <c r="H27" s="30">
        <f t="shared" si="5"/>
        <v>0</v>
      </c>
      <c r="I27" s="59" t="s">
        <v>199</v>
      </c>
      <c r="J27" s="60" t="s">
        <v>200</v>
      </c>
      <c r="K27" s="59">
        <v>0</v>
      </c>
      <c r="L27" s="59" t="s">
        <v>201</v>
      </c>
      <c r="M27" s="60" t="s">
        <v>128</v>
      </c>
      <c r="N27" s="60" t="s">
        <v>129</v>
      </c>
      <c r="O27" s="61" t="s">
        <v>198</v>
      </c>
      <c r="P27" s="62" t="s">
        <v>190</v>
      </c>
    </row>
    <row r="28" spans="1:16" ht="12.75" customHeight="1">
      <c r="A28" s="30" t="str">
        <f t="shared" si="0"/>
        <v>IBVS 2545 </v>
      </c>
      <c r="B28" s="16" t="str">
        <f t="shared" si="1"/>
        <v>II</v>
      </c>
      <c r="C28" s="30">
        <f t="shared" si="2"/>
        <v>45567.839899999999</v>
      </c>
      <c r="D28" t="str">
        <f t="shared" si="3"/>
        <v>vis</v>
      </c>
      <c r="E28">
        <f>VLOOKUP(C28,Active!C$21:E$972,3,FALSE)</f>
        <v>1.5022747974377946</v>
      </c>
      <c r="F28" s="16" t="s">
        <v>124</v>
      </c>
      <c r="G28" t="str">
        <f t="shared" si="4"/>
        <v>45567.8399</v>
      </c>
      <c r="H28" s="30">
        <f t="shared" si="5"/>
        <v>1.5</v>
      </c>
      <c r="I28" s="59" t="s">
        <v>202</v>
      </c>
      <c r="J28" s="60" t="s">
        <v>203</v>
      </c>
      <c r="K28" s="59">
        <v>1.5</v>
      </c>
      <c r="L28" s="59" t="s">
        <v>204</v>
      </c>
      <c r="M28" s="60" t="s">
        <v>128</v>
      </c>
      <c r="N28" s="60" t="s">
        <v>129</v>
      </c>
      <c r="O28" s="61" t="s">
        <v>198</v>
      </c>
      <c r="P28" s="62" t="s">
        <v>190</v>
      </c>
    </row>
    <row r="29" spans="1:16" ht="12.75" customHeight="1">
      <c r="A29" s="30" t="str">
        <f t="shared" si="0"/>
        <v> BBS 69 </v>
      </c>
      <c r="B29" s="16" t="str">
        <f t="shared" si="1"/>
        <v>I</v>
      </c>
      <c r="C29" s="30">
        <f t="shared" si="2"/>
        <v>45603.322999999997</v>
      </c>
      <c r="D29" t="str">
        <f t="shared" si="3"/>
        <v>vis</v>
      </c>
      <c r="E29">
        <f>VLOOKUP(C29,Active!C$21:E$972,3,FALSE)</f>
        <v>15.00311487164957</v>
      </c>
      <c r="F29" s="16" t="s">
        <v>124</v>
      </c>
      <c r="G29" t="str">
        <f t="shared" si="4"/>
        <v>45603.323</v>
      </c>
      <c r="H29" s="30">
        <f t="shared" si="5"/>
        <v>15</v>
      </c>
      <c r="I29" s="59" t="s">
        <v>205</v>
      </c>
      <c r="J29" s="60" t="s">
        <v>206</v>
      </c>
      <c r="K29" s="59">
        <v>15</v>
      </c>
      <c r="L29" s="59" t="s">
        <v>172</v>
      </c>
      <c r="M29" s="60" t="s">
        <v>135</v>
      </c>
      <c r="N29" s="60"/>
      <c r="O29" s="61" t="s">
        <v>207</v>
      </c>
      <c r="P29" s="61" t="s">
        <v>208</v>
      </c>
    </row>
    <row r="30" spans="1:16" ht="12.75" customHeight="1">
      <c r="A30" s="30" t="str">
        <f t="shared" si="0"/>
        <v> BRNO 27 </v>
      </c>
      <c r="B30" s="16" t="str">
        <f t="shared" si="1"/>
        <v>I</v>
      </c>
      <c r="C30" s="30">
        <f t="shared" si="2"/>
        <v>45942.381999999998</v>
      </c>
      <c r="D30" t="str">
        <f t="shared" si="3"/>
        <v>vis</v>
      </c>
      <c r="E30">
        <f>VLOOKUP(C30,Active!C$21:E$972,3,FALSE)</f>
        <v>144.01048273754878</v>
      </c>
      <c r="F30" s="16" t="s">
        <v>124</v>
      </c>
      <c r="G30" t="str">
        <f t="shared" si="4"/>
        <v>45942.382</v>
      </c>
      <c r="H30" s="30">
        <f t="shared" si="5"/>
        <v>144</v>
      </c>
      <c r="I30" s="59" t="s">
        <v>209</v>
      </c>
      <c r="J30" s="60" t="s">
        <v>210</v>
      </c>
      <c r="K30" s="59">
        <v>144</v>
      </c>
      <c r="L30" s="59" t="s">
        <v>211</v>
      </c>
      <c r="M30" s="60" t="s">
        <v>135</v>
      </c>
      <c r="N30" s="60"/>
      <c r="O30" s="61" t="s">
        <v>212</v>
      </c>
      <c r="P30" s="61" t="s">
        <v>213</v>
      </c>
    </row>
    <row r="31" spans="1:16" ht="12.75" customHeight="1">
      <c r="A31" s="30" t="str">
        <f t="shared" si="0"/>
        <v> BRNO 27 </v>
      </c>
      <c r="B31" s="16" t="str">
        <f t="shared" si="1"/>
        <v>I</v>
      </c>
      <c r="C31" s="30">
        <f t="shared" si="2"/>
        <v>45992.309000000001</v>
      </c>
      <c r="D31" t="str">
        <f t="shared" si="3"/>
        <v>vis</v>
      </c>
      <c r="E31">
        <f>VLOOKUP(C31,Active!C$21:E$972,3,FALSE)</f>
        <v>163.00703158433109</v>
      </c>
      <c r="F31" s="16" t="s">
        <v>124</v>
      </c>
      <c r="G31" t="str">
        <f t="shared" si="4"/>
        <v>45992.309</v>
      </c>
      <c r="H31" s="30">
        <f t="shared" si="5"/>
        <v>163</v>
      </c>
      <c r="I31" s="59" t="s">
        <v>214</v>
      </c>
      <c r="J31" s="60" t="s">
        <v>215</v>
      </c>
      <c r="K31" s="59">
        <v>163</v>
      </c>
      <c r="L31" s="59" t="s">
        <v>216</v>
      </c>
      <c r="M31" s="60" t="s">
        <v>135</v>
      </c>
      <c r="N31" s="60"/>
      <c r="O31" s="61" t="s">
        <v>212</v>
      </c>
      <c r="P31" s="61" t="s">
        <v>213</v>
      </c>
    </row>
    <row r="32" spans="1:16" ht="12.75" customHeight="1">
      <c r="A32" s="30" t="str">
        <f t="shared" si="0"/>
        <v> BBS 74 </v>
      </c>
      <c r="B32" s="16" t="str">
        <f t="shared" si="1"/>
        <v>I</v>
      </c>
      <c r="C32" s="30">
        <f t="shared" si="2"/>
        <v>46005.430999999997</v>
      </c>
      <c r="D32" t="str">
        <f t="shared" si="3"/>
        <v>vis</v>
      </c>
      <c r="E32">
        <f>VLOOKUP(C32,Active!C$21:E$972,3,FALSE)</f>
        <v>167.99977526945898</v>
      </c>
      <c r="F32" s="16" t="s">
        <v>124</v>
      </c>
      <c r="G32" t="str">
        <f t="shared" si="4"/>
        <v>46005.431</v>
      </c>
      <c r="H32" s="30">
        <f t="shared" si="5"/>
        <v>168</v>
      </c>
      <c r="I32" s="59" t="s">
        <v>217</v>
      </c>
      <c r="J32" s="60" t="s">
        <v>218</v>
      </c>
      <c r="K32" s="59">
        <v>168</v>
      </c>
      <c r="L32" s="59" t="s">
        <v>219</v>
      </c>
      <c r="M32" s="60" t="s">
        <v>135</v>
      </c>
      <c r="N32" s="60"/>
      <c r="O32" s="61" t="s">
        <v>220</v>
      </c>
      <c r="P32" s="61" t="s">
        <v>221</v>
      </c>
    </row>
    <row r="33" spans="1:16" ht="12.75" customHeight="1">
      <c r="A33" s="30" t="str">
        <f t="shared" si="0"/>
        <v> BRNO 27 </v>
      </c>
      <c r="B33" s="16" t="str">
        <f t="shared" si="1"/>
        <v>I</v>
      </c>
      <c r="C33" s="30">
        <f t="shared" si="2"/>
        <v>46281.41</v>
      </c>
      <c r="D33" t="str">
        <f t="shared" si="3"/>
        <v>vis</v>
      </c>
      <c r="E33">
        <f>VLOOKUP(C33,Active!C$21:E$972,3,FALSE)</f>
        <v>273.00605552234634</v>
      </c>
      <c r="F33" s="16" t="s">
        <v>124</v>
      </c>
      <c r="G33" t="str">
        <f t="shared" si="4"/>
        <v>46281.410</v>
      </c>
      <c r="H33" s="30">
        <f t="shared" si="5"/>
        <v>273</v>
      </c>
      <c r="I33" s="59" t="s">
        <v>222</v>
      </c>
      <c r="J33" s="60" t="s">
        <v>223</v>
      </c>
      <c r="K33" s="59">
        <v>273</v>
      </c>
      <c r="L33" s="59" t="s">
        <v>140</v>
      </c>
      <c r="M33" s="60" t="s">
        <v>135</v>
      </c>
      <c r="N33" s="60"/>
      <c r="O33" s="61" t="s">
        <v>212</v>
      </c>
      <c r="P33" s="61" t="s">
        <v>213</v>
      </c>
    </row>
    <row r="34" spans="1:16" ht="12.75" customHeight="1">
      <c r="A34" s="30" t="str">
        <f t="shared" si="0"/>
        <v>BAVM 43 </v>
      </c>
      <c r="B34" s="16" t="str">
        <f t="shared" si="1"/>
        <v>I</v>
      </c>
      <c r="C34" s="30">
        <f t="shared" si="2"/>
        <v>46352.358999999997</v>
      </c>
      <c r="D34" t="str">
        <f t="shared" si="3"/>
        <v>vis</v>
      </c>
      <c r="E34">
        <f>VLOOKUP(C34,Active!C$21:E$972,3,FALSE)</f>
        <v>300.00119130318916</v>
      </c>
      <c r="F34" s="16" t="s">
        <v>124</v>
      </c>
      <c r="G34" t="str">
        <f t="shared" si="4"/>
        <v>46352.359</v>
      </c>
      <c r="H34" s="30">
        <f t="shared" si="5"/>
        <v>300</v>
      </c>
      <c r="I34" s="59" t="s">
        <v>224</v>
      </c>
      <c r="J34" s="60" t="s">
        <v>225</v>
      </c>
      <c r="K34" s="59">
        <v>300</v>
      </c>
      <c r="L34" s="59" t="s">
        <v>226</v>
      </c>
      <c r="M34" s="60" t="s">
        <v>135</v>
      </c>
      <c r="N34" s="60"/>
      <c r="O34" s="61" t="s">
        <v>227</v>
      </c>
      <c r="P34" s="62" t="s">
        <v>228</v>
      </c>
    </row>
    <row r="35" spans="1:16" ht="12.75" customHeight="1">
      <c r="A35" s="30" t="str">
        <f t="shared" si="0"/>
        <v> BRNO 30 </v>
      </c>
      <c r="B35" s="16" t="str">
        <f t="shared" si="1"/>
        <v>I</v>
      </c>
      <c r="C35" s="30">
        <f t="shared" si="2"/>
        <v>47030.495999999999</v>
      </c>
      <c r="D35" t="str">
        <f t="shared" si="3"/>
        <v>vis</v>
      </c>
      <c r="E35">
        <f>VLOOKUP(C35,Active!C$21:E$972,3,FALSE)</f>
        <v>558.02315627824464</v>
      </c>
      <c r="F35" s="16" t="s">
        <v>124</v>
      </c>
      <c r="G35" t="str">
        <f t="shared" si="4"/>
        <v>47030.496</v>
      </c>
      <c r="H35" s="30">
        <f t="shared" si="5"/>
        <v>558</v>
      </c>
      <c r="I35" s="59" t="s">
        <v>229</v>
      </c>
      <c r="J35" s="60" t="s">
        <v>230</v>
      </c>
      <c r="K35" s="59">
        <v>558</v>
      </c>
      <c r="L35" s="59" t="s">
        <v>231</v>
      </c>
      <c r="M35" s="60" t="s">
        <v>135</v>
      </c>
      <c r="N35" s="60"/>
      <c r="O35" s="61" t="s">
        <v>232</v>
      </c>
      <c r="P35" s="61" t="s">
        <v>233</v>
      </c>
    </row>
    <row r="36" spans="1:16" ht="12.75" customHeight="1">
      <c r="A36" s="30" t="str">
        <f t="shared" si="0"/>
        <v> BRNO 31 </v>
      </c>
      <c r="B36" s="16" t="str">
        <f t="shared" si="1"/>
        <v>I</v>
      </c>
      <c r="C36" s="30">
        <f t="shared" si="2"/>
        <v>48444.436999999998</v>
      </c>
      <c r="D36" t="str">
        <f t="shared" si="3"/>
        <v>vis</v>
      </c>
      <c r="E36">
        <f>VLOOKUP(C36,Active!C$21:E$972,3,FALSE)</f>
        <v>1096.0086004861162</v>
      </c>
      <c r="F36" s="16" t="s">
        <v>124</v>
      </c>
      <c r="G36" t="str">
        <f t="shared" si="4"/>
        <v>48444.437</v>
      </c>
      <c r="H36" s="30">
        <f t="shared" si="5"/>
        <v>1096</v>
      </c>
      <c r="I36" s="59" t="s">
        <v>234</v>
      </c>
      <c r="J36" s="60" t="s">
        <v>235</v>
      </c>
      <c r="K36" s="59">
        <v>1096</v>
      </c>
      <c r="L36" s="59" t="s">
        <v>236</v>
      </c>
      <c r="M36" s="60" t="s">
        <v>135</v>
      </c>
      <c r="N36" s="60"/>
      <c r="O36" s="61" t="s">
        <v>237</v>
      </c>
      <c r="P36" s="61" t="s">
        <v>238</v>
      </c>
    </row>
    <row r="37" spans="1:16" ht="12.75" customHeight="1">
      <c r="A37" s="30" t="str">
        <f t="shared" si="0"/>
        <v>IBVS 3762 </v>
      </c>
      <c r="B37" s="16" t="str">
        <f t="shared" si="1"/>
        <v>I</v>
      </c>
      <c r="C37" s="30">
        <f t="shared" si="2"/>
        <v>48486.465600000003</v>
      </c>
      <c r="D37" t="str">
        <f t="shared" si="3"/>
        <v>vis</v>
      </c>
      <c r="E37">
        <f>VLOOKUP(C37,Active!C$21:E$972,3,FALSE)</f>
        <v>1111.9999148623438</v>
      </c>
      <c r="F37" s="16" t="s">
        <v>124</v>
      </c>
      <c r="G37" t="str">
        <f t="shared" si="4"/>
        <v>48486.4656</v>
      </c>
      <c r="H37" s="30">
        <f t="shared" si="5"/>
        <v>1112</v>
      </c>
      <c r="I37" s="59" t="s">
        <v>239</v>
      </c>
      <c r="J37" s="60" t="s">
        <v>240</v>
      </c>
      <c r="K37" s="59">
        <v>1112</v>
      </c>
      <c r="L37" s="59" t="s">
        <v>241</v>
      </c>
      <c r="M37" s="60" t="s">
        <v>128</v>
      </c>
      <c r="N37" s="60" t="s">
        <v>65</v>
      </c>
      <c r="O37" s="61" t="s">
        <v>242</v>
      </c>
      <c r="P37" s="62" t="s">
        <v>243</v>
      </c>
    </row>
    <row r="38" spans="1:16" ht="12.75" customHeight="1">
      <c r="A38" s="30" t="str">
        <f t="shared" si="0"/>
        <v> BRNO 31 </v>
      </c>
      <c r="B38" s="16" t="str">
        <f t="shared" si="1"/>
        <v>I</v>
      </c>
      <c r="C38" s="30">
        <f t="shared" si="2"/>
        <v>48486.472000000002</v>
      </c>
      <c r="D38" t="str">
        <f t="shared" si="3"/>
        <v>vis</v>
      </c>
      <c r="E38">
        <f>VLOOKUP(C38,Active!C$21:E$972,3,FALSE)</f>
        <v>1112.0023499758613</v>
      </c>
      <c r="F38" s="16" t="s">
        <v>124</v>
      </c>
      <c r="G38" t="str">
        <f t="shared" si="4"/>
        <v>48486.472</v>
      </c>
      <c r="H38" s="30">
        <f t="shared" si="5"/>
        <v>1112</v>
      </c>
      <c r="I38" s="59" t="s">
        <v>244</v>
      </c>
      <c r="J38" s="60" t="s">
        <v>245</v>
      </c>
      <c r="K38" s="59">
        <v>1112</v>
      </c>
      <c r="L38" s="59" t="s">
        <v>246</v>
      </c>
      <c r="M38" s="60" t="s">
        <v>135</v>
      </c>
      <c r="N38" s="60"/>
      <c r="O38" s="61" t="s">
        <v>247</v>
      </c>
      <c r="P38" s="61" t="s">
        <v>238</v>
      </c>
    </row>
    <row r="39" spans="1:16" ht="12.75" customHeight="1">
      <c r="A39" s="30" t="str">
        <f t="shared" si="0"/>
        <v>IBVS 3762 </v>
      </c>
      <c r="B39" s="16" t="str">
        <f t="shared" si="1"/>
        <v>I</v>
      </c>
      <c r="C39" s="30">
        <f t="shared" si="2"/>
        <v>48507.492899999997</v>
      </c>
      <c r="D39" t="str">
        <f t="shared" si="3"/>
        <v>vis</v>
      </c>
      <c r="E39">
        <f>VLOOKUP(C39,Active!C$21:E$972,3,FALSE)</f>
        <v>1120.000518374788</v>
      </c>
      <c r="F39" s="16" t="s">
        <v>124</v>
      </c>
      <c r="G39" t="str">
        <f t="shared" si="4"/>
        <v>48507.4929</v>
      </c>
      <c r="H39" s="30">
        <f t="shared" si="5"/>
        <v>1120</v>
      </c>
      <c r="I39" s="59" t="s">
        <v>248</v>
      </c>
      <c r="J39" s="60" t="s">
        <v>249</v>
      </c>
      <c r="K39" s="59">
        <v>1120</v>
      </c>
      <c r="L39" s="59" t="s">
        <v>250</v>
      </c>
      <c r="M39" s="60" t="s">
        <v>128</v>
      </c>
      <c r="N39" s="60" t="s">
        <v>65</v>
      </c>
      <c r="O39" s="61" t="s">
        <v>242</v>
      </c>
      <c r="P39" s="62" t="s">
        <v>243</v>
      </c>
    </row>
    <row r="40" spans="1:16" ht="12.75" customHeight="1">
      <c r="A40" s="30" t="str">
        <f t="shared" si="0"/>
        <v> BBS 100 </v>
      </c>
      <c r="B40" s="16" t="str">
        <f t="shared" si="1"/>
        <v>I</v>
      </c>
      <c r="C40" s="30">
        <f t="shared" si="2"/>
        <v>48507.508000000002</v>
      </c>
      <c r="D40" t="str">
        <f t="shared" si="3"/>
        <v>vis</v>
      </c>
      <c r="E40">
        <f>VLOOKUP(C40,Active!C$21:E$972,3,FALSE)</f>
        <v>1120.0062637207466</v>
      </c>
      <c r="F40" s="16" t="s">
        <v>124</v>
      </c>
      <c r="G40" t="str">
        <f t="shared" si="4"/>
        <v>48507.508</v>
      </c>
      <c r="H40" s="30">
        <f t="shared" si="5"/>
        <v>1120</v>
      </c>
      <c r="I40" s="59" t="s">
        <v>251</v>
      </c>
      <c r="J40" s="60" t="s">
        <v>252</v>
      </c>
      <c r="K40" s="59">
        <v>1120</v>
      </c>
      <c r="L40" s="59" t="s">
        <v>140</v>
      </c>
      <c r="M40" s="60" t="s">
        <v>135</v>
      </c>
      <c r="N40" s="60"/>
      <c r="O40" s="61" t="s">
        <v>253</v>
      </c>
      <c r="P40" s="61" t="s">
        <v>254</v>
      </c>
    </row>
    <row r="41" spans="1:16" ht="12.75" customHeight="1">
      <c r="A41" s="30" t="str">
        <f t="shared" si="0"/>
        <v> BRNO 31 </v>
      </c>
      <c r="B41" s="16" t="str">
        <f t="shared" si="1"/>
        <v>I</v>
      </c>
      <c r="C41" s="30">
        <f t="shared" si="2"/>
        <v>49653.385999999999</v>
      </c>
      <c r="D41" t="str">
        <f t="shared" si="3"/>
        <v>vis</v>
      </c>
      <c r="E41">
        <f>VLOOKUP(C41,Active!C$21:E$972,3,FALSE)</f>
        <v>1555.9973587084626</v>
      </c>
      <c r="F41" s="16" t="str">
        <f>LEFT(M41,1)</f>
        <v>V</v>
      </c>
      <c r="G41" t="str">
        <f t="shared" si="4"/>
        <v>49653.386</v>
      </c>
      <c r="H41" s="30">
        <f t="shared" si="5"/>
        <v>1556</v>
      </c>
      <c r="I41" s="59" t="s">
        <v>255</v>
      </c>
      <c r="J41" s="60" t="s">
        <v>256</v>
      </c>
      <c r="K41" s="59">
        <v>1556</v>
      </c>
      <c r="L41" s="59" t="s">
        <v>150</v>
      </c>
      <c r="M41" s="60" t="s">
        <v>135</v>
      </c>
      <c r="N41" s="60"/>
      <c r="O41" s="61" t="s">
        <v>257</v>
      </c>
      <c r="P41" s="61" t="s">
        <v>238</v>
      </c>
    </row>
    <row r="42" spans="1:16" ht="12.75" customHeight="1">
      <c r="A42" s="30" t="str">
        <f t="shared" si="0"/>
        <v> BRNO 31 </v>
      </c>
      <c r="B42" s="16" t="str">
        <f t="shared" si="1"/>
        <v>I</v>
      </c>
      <c r="C42" s="30">
        <f t="shared" si="2"/>
        <v>49653.391000000003</v>
      </c>
      <c r="D42" t="str">
        <f t="shared" si="3"/>
        <v>vis</v>
      </c>
      <c r="E42">
        <f>VLOOKUP(C42,Active!C$21:E$972,3,FALSE)</f>
        <v>1555.9992611409004</v>
      </c>
      <c r="F42" s="16" t="str">
        <f>LEFT(M42,1)</f>
        <v>V</v>
      </c>
      <c r="G42" t="str">
        <f t="shared" si="4"/>
        <v>49653.391</v>
      </c>
      <c r="H42" s="30">
        <f t="shared" si="5"/>
        <v>1556</v>
      </c>
      <c r="I42" s="59" t="s">
        <v>258</v>
      </c>
      <c r="J42" s="60" t="s">
        <v>259</v>
      </c>
      <c r="K42" s="59">
        <v>1556</v>
      </c>
      <c r="L42" s="59" t="s">
        <v>145</v>
      </c>
      <c r="M42" s="60" t="s">
        <v>135</v>
      </c>
      <c r="N42" s="60"/>
      <c r="O42" s="61" t="s">
        <v>260</v>
      </c>
      <c r="P42" s="61" t="s">
        <v>238</v>
      </c>
    </row>
    <row r="43" spans="1:16" ht="12.75" customHeight="1">
      <c r="A43" s="30" t="str">
        <f t="shared" ref="A43:A74" si="6">P43</f>
        <v> BRNO 31 </v>
      </c>
      <c r="B43" s="16" t="str">
        <f t="shared" ref="B43:B74" si="7">IF(H43=INT(H43),"I","II")</f>
        <v>I</v>
      </c>
      <c r="C43" s="30">
        <f t="shared" ref="C43:C74" si="8">1*G43</f>
        <v>49661.275999999998</v>
      </c>
      <c r="D43" t="str">
        <f t="shared" ref="D43:D74" si="9">VLOOKUP(F43,I$1:J$5,2,FALSE)</f>
        <v>vis</v>
      </c>
      <c r="E43">
        <f>VLOOKUP(C43,Active!C$21:E$972,3,FALSE)</f>
        <v>1558.999397092525</v>
      </c>
      <c r="F43" s="16" t="str">
        <f>LEFT(M43,1)</f>
        <v>V</v>
      </c>
      <c r="G43" t="str">
        <f t="shared" ref="G43:G74" si="10">MID(I43,3,LEN(I43)-3)</f>
        <v>49661.276</v>
      </c>
      <c r="H43" s="30">
        <f t="shared" ref="H43:H74" si="11">1*K43</f>
        <v>1559</v>
      </c>
      <c r="I43" s="59" t="s">
        <v>261</v>
      </c>
      <c r="J43" s="60" t="s">
        <v>262</v>
      </c>
      <c r="K43" s="59">
        <v>1559</v>
      </c>
      <c r="L43" s="59" t="s">
        <v>145</v>
      </c>
      <c r="M43" s="60" t="s">
        <v>135</v>
      </c>
      <c r="N43" s="60"/>
      <c r="O43" s="61" t="s">
        <v>260</v>
      </c>
      <c r="P43" s="61" t="s">
        <v>238</v>
      </c>
    </row>
    <row r="44" spans="1:16" ht="12.75" customHeight="1">
      <c r="A44" s="30" t="str">
        <f t="shared" si="6"/>
        <v>BAVM 174 </v>
      </c>
      <c r="B44" s="16" t="str">
        <f t="shared" si="7"/>
        <v>I</v>
      </c>
      <c r="C44" s="30">
        <f t="shared" si="8"/>
        <v>53251.421000000002</v>
      </c>
      <c r="D44" t="str">
        <f t="shared" si="9"/>
        <v>vis</v>
      </c>
      <c r="E44">
        <f>VLOOKUP(C44,Active!C$21:E$972,3,FALSE)</f>
        <v>2925.0010567060963</v>
      </c>
      <c r="F44" s="16" t="s">
        <v>124</v>
      </c>
      <c r="G44" t="str">
        <f t="shared" si="10"/>
        <v>53251.421</v>
      </c>
      <c r="H44" s="30">
        <f t="shared" si="11"/>
        <v>2925</v>
      </c>
      <c r="I44" s="59" t="s">
        <v>263</v>
      </c>
      <c r="J44" s="60" t="s">
        <v>264</v>
      </c>
      <c r="K44" s="59">
        <v>2925</v>
      </c>
      <c r="L44" s="59" t="s">
        <v>226</v>
      </c>
      <c r="M44" s="60" t="s">
        <v>135</v>
      </c>
      <c r="N44" s="60"/>
      <c r="O44" s="61" t="s">
        <v>265</v>
      </c>
      <c r="P44" s="62" t="s">
        <v>266</v>
      </c>
    </row>
    <row r="45" spans="1:16" ht="12.75" customHeight="1">
      <c r="A45" s="30" t="str">
        <f t="shared" si="6"/>
        <v>OEJV 0142 </v>
      </c>
      <c r="B45" s="16" t="str">
        <f t="shared" si="7"/>
        <v>I</v>
      </c>
      <c r="C45" s="30">
        <f t="shared" si="8"/>
        <v>55803.417999999998</v>
      </c>
      <c r="D45" t="str">
        <f t="shared" si="9"/>
        <v>vis</v>
      </c>
      <c r="E45">
        <f>VLOOKUP(C45,Active!C$21:E$972,3,FALSE)</f>
        <v>3896.0014305987506</v>
      </c>
      <c r="F45" s="16" t="s">
        <v>124</v>
      </c>
      <c r="G45" t="str">
        <f t="shared" si="10"/>
        <v>55803.418</v>
      </c>
      <c r="H45" s="30">
        <f t="shared" si="11"/>
        <v>3896</v>
      </c>
      <c r="I45" s="59" t="s">
        <v>267</v>
      </c>
      <c r="J45" s="60" t="s">
        <v>268</v>
      </c>
      <c r="K45" s="59">
        <v>3896</v>
      </c>
      <c r="L45" s="59" t="s">
        <v>162</v>
      </c>
      <c r="M45" s="60" t="s">
        <v>269</v>
      </c>
      <c r="N45" s="60" t="s">
        <v>270</v>
      </c>
      <c r="O45" s="61" t="s">
        <v>271</v>
      </c>
      <c r="P45" s="62" t="s">
        <v>272</v>
      </c>
    </row>
    <row r="46" spans="1:16" ht="12.75" customHeight="1">
      <c r="A46" s="30" t="str">
        <f t="shared" si="6"/>
        <v>OEJV 0142 </v>
      </c>
      <c r="B46" s="16" t="str">
        <f t="shared" si="7"/>
        <v>I</v>
      </c>
      <c r="C46" s="30">
        <f t="shared" si="8"/>
        <v>55832.33</v>
      </c>
      <c r="D46" t="str">
        <f t="shared" si="9"/>
        <v>vis</v>
      </c>
      <c r="E46">
        <f>VLOOKUP(C46,Active!C$21:E$972,3,FALSE)</f>
        <v>3907.0020559168793</v>
      </c>
      <c r="F46" s="16" t="s">
        <v>124</v>
      </c>
      <c r="G46" t="str">
        <f t="shared" si="10"/>
        <v>55832.33</v>
      </c>
      <c r="H46" s="30">
        <f t="shared" si="11"/>
        <v>3907</v>
      </c>
      <c r="I46" s="59" t="s">
        <v>273</v>
      </c>
      <c r="J46" s="60" t="s">
        <v>274</v>
      </c>
      <c r="K46" s="59" t="s">
        <v>275</v>
      </c>
      <c r="L46" s="59" t="s">
        <v>276</v>
      </c>
      <c r="M46" s="60" t="s">
        <v>269</v>
      </c>
      <c r="N46" s="60" t="s">
        <v>270</v>
      </c>
      <c r="O46" s="61" t="s">
        <v>271</v>
      </c>
      <c r="P46" s="62" t="s">
        <v>272</v>
      </c>
    </row>
    <row r="47" spans="1:16" ht="12.75" customHeight="1">
      <c r="A47" s="30" t="str">
        <f t="shared" si="6"/>
        <v> BZ 22.39 </v>
      </c>
      <c r="B47" s="16" t="str">
        <f t="shared" si="7"/>
        <v>II</v>
      </c>
      <c r="C47" s="30">
        <f t="shared" si="8"/>
        <v>29176.986000000001</v>
      </c>
      <c r="D47" t="str">
        <f t="shared" si="9"/>
        <v>vis</v>
      </c>
      <c r="E47">
        <f>VLOOKUP(C47,Active!C$21:E$972,3,FALSE)</f>
        <v>-6234.9961479357798</v>
      </c>
      <c r="F47" s="16" t="s">
        <v>124</v>
      </c>
      <c r="G47" t="str">
        <f t="shared" si="10"/>
        <v>29176.986</v>
      </c>
      <c r="H47" s="30">
        <f t="shared" si="11"/>
        <v>-6235.5</v>
      </c>
      <c r="I47" s="59" t="s">
        <v>277</v>
      </c>
      <c r="J47" s="60" t="s">
        <v>278</v>
      </c>
      <c r="K47" s="59">
        <v>-6235.5</v>
      </c>
      <c r="L47" s="59" t="s">
        <v>279</v>
      </c>
      <c r="M47" s="60" t="s">
        <v>135</v>
      </c>
      <c r="N47" s="60"/>
      <c r="O47" s="61" t="s">
        <v>280</v>
      </c>
      <c r="P47" s="61" t="s">
        <v>44</v>
      </c>
    </row>
    <row r="48" spans="1:16" ht="12.75" customHeight="1">
      <c r="A48" s="30" t="str">
        <f t="shared" si="6"/>
        <v> MHSB 22.81 </v>
      </c>
      <c r="B48" s="16" t="str">
        <f t="shared" si="7"/>
        <v>II</v>
      </c>
      <c r="C48" s="30">
        <f t="shared" si="8"/>
        <v>33889.394</v>
      </c>
      <c r="D48" t="str">
        <f t="shared" si="9"/>
        <v>vis</v>
      </c>
      <c r="E48">
        <f>VLOOKUP(C48,Active!C$21:E$972,3,FALSE)</f>
        <v>-4441.9885817298846</v>
      </c>
      <c r="F48" s="16" t="s">
        <v>124</v>
      </c>
      <c r="G48" t="str">
        <f t="shared" si="10"/>
        <v>33889.394</v>
      </c>
      <c r="H48" s="30">
        <f t="shared" si="11"/>
        <v>-4442.5</v>
      </c>
      <c r="I48" s="59" t="s">
        <v>281</v>
      </c>
      <c r="J48" s="60" t="s">
        <v>282</v>
      </c>
      <c r="K48" s="59">
        <v>-4442.5</v>
      </c>
      <c r="L48" s="59" t="s">
        <v>283</v>
      </c>
      <c r="M48" s="60" t="s">
        <v>135</v>
      </c>
      <c r="N48" s="60"/>
      <c r="O48" s="61" t="s">
        <v>284</v>
      </c>
      <c r="P48" s="61" t="s">
        <v>46</v>
      </c>
    </row>
    <row r="49" spans="1:16" ht="12.75" customHeight="1">
      <c r="A49" s="30" t="str">
        <f t="shared" si="6"/>
        <v> MHSB 22.81 </v>
      </c>
      <c r="B49" s="16" t="str">
        <f t="shared" si="7"/>
        <v>II</v>
      </c>
      <c r="C49" s="30">
        <f t="shared" si="8"/>
        <v>33910.400000000001</v>
      </c>
      <c r="D49" t="str">
        <f t="shared" si="9"/>
        <v>vis</v>
      </c>
      <c r="E49">
        <f>VLOOKUP(C49,Active!C$21:E$972,3,FALSE)</f>
        <v>-4433.9960825796152</v>
      </c>
      <c r="F49" s="16" t="s">
        <v>124</v>
      </c>
      <c r="G49" t="str">
        <f t="shared" si="10"/>
        <v>33910.400</v>
      </c>
      <c r="H49" s="30">
        <f t="shared" si="11"/>
        <v>-4434.5</v>
      </c>
      <c r="I49" s="59" t="s">
        <v>285</v>
      </c>
      <c r="J49" s="60" t="s">
        <v>286</v>
      </c>
      <c r="K49" s="59">
        <v>-4434.5</v>
      </c>
      <c r="L49" s="59" t="s">
        <v>279</v>
      </c>
      <c r="M49" s="60" t="s">
        <v>135</v>
      </c>
      <c r="N49" s="60"/>
      <c r="O49" s="61" t="s">
        <v>284</v>
      </c>
      <c r="P49" s="61" t="s">
        <v>46</v>
      </c>
    </row>
    <row r="50" spans="1:16" ht="12.75" customHeight="1">
      <c r="A50" s="30" t="str">
        <f t="shared" si="6"/>
        <v> MHSB 22.81 </v>
      </c>
      <c r="B50" s="16" t="str">
        <f t="shared" si="7"/>
        <v>II</v>
      </c>
      <c r="C50" s="30">
        <f t="shared" si="8"/>
        <v>33923.536999999997</v>
      </c>
      <c r="D50" t="str">
        <f t="shared" si="9"/>
        <v>vis</v>
      </c>
      <c r="E50">
        <f>VLOOKUP(C50,Active!C$21:E$972,3,FALSE)</f>
        <v>-4428.9976315971799</v>
      </c>
      <c r="F50" s="16" t="s">
        <v>124</v>
      </c>
      <c r="G50" t="str">
        <f t="shared" si="10"/>
        <v>33923.537</v>
      </c>
      <c r="H50" s="30">
        <f t="shared" si="11"/>
        <v>-4429.5</v>
      </c>
      <c r="I50" s="59" t="s">
        <v>287</v>
      </c>
      <c r="J50" s="60" t="s">
        <v>288</v>
      </c>
      <c r="K50" s="59">
        <v>-4429.5</v>
      </c>
      <c r="L50" s="59" t="s">
        <v>289</v>
      </c>
      <c r="M50" s="60" t="s">
        <v>135</v>
      </c>
      <c r="N50" s="60"/>
      <c r="O50" s="61" t="s">
        <v>284</v>
      </c>
      <c r="P50" s="61" t="s">
        <v>46</v>
      </c>
    </row>
    <row r="51" spans="1:16" ht="12.75" customHeight="1">
      <c r="A51" s="30" t="str">
        <f t="shared" si="6"/>
        <v> MHSB 22.81 </v>
      </c>
      <c r="B51" s="16" t="str">
        <f t="shared" si="7"/>
        <v>II</v>
      </c>
      <c r="C51" s="30">
        <f t="shared" si="8"/>
        <v>33931.417000000001</v>
      </c>
      <c r="D51" t="str">
        <f t="shared" si="9"/>
        <v>vis</v>
      </c>
      <c r="E51">
        <f>VLOOKUP(C51,Active!C$21:E$972,3,FALSE)</f>
        <v>-4425.9993980779873</v>
      </c>
      <c r="F51" s="16" t="s">
        <v>124</v>
      </c>
      <c r="G51" t="str">
        <f t="shared" si="10"/>
        <v>33931.417</v>
      </c>
      <c r="H51" s="30">
        <f t="shared" si="11"/>
        <v>-4426.5</v>
      </c>
      <c r="I51" s="59" t="s">
        <v>290</v>
      </c>
      <c r="J51" s="60" t="s">
        <v>291</v>
      </c>
      <c r="K51" s="59">
        <v>-4426.5</v>
      </c>
      <c r="L51" s="59" t="s">
        <v>292</v>
      </c>
      <c r="M51" s="60" t="s">
        <v>135</v>
      </c>
      <c r="N51" s="60"/>
      <c r="O51" s="61" t="s">
        <v>284</v>
      </c>
      <c r="P51" s="61" t="s">
        <v>46</v>
      </c>
    </row>
    <row r="52" spans="1:16" ht="12.75" customHeight="1">
      <c r="A52" s="30" t="str">
        <f t="shared" si="6"/>
        <v> MHSB 22.81 </v>
      </c>
      <c r="B52" s="16" t="str">
        <f t="shared" si="7"/>
        <v>II</v>
      </c>
      <c r="C52" s="30">
        <f t="shared" si="8"/>
        <v>33939.296999999999</v>
      </c>
      <c r="D52" t="str">
        <f t="shared" si="9"/>
        <v>vis</v>
      </c>
      <c r="E52">
        <f>VLOOKUP(C52,Active!C$21:E$972,3,FALSE)</f>
        <v>-4423.0011645587974</v>
      </c>
      <c r="F52" s="16" t="s">
        <v>124</v>
      </c>
      <c r="G52" t="str">
        <f t="shared" si="10"/>
        <v>33939.297</v>
      </c>
      <c r="H52" s="30">
        <f t="shared" si="11"/>
        <v>-4423.5</v>
      </c>
      <c r="I52" s="59" t="s">
        <v>293</v>
      </c>
      <c r="J52" s="60" t="s">
        <v>294</v>
      </c>
      <c r="K52" s="59">
        <v>-4423.5</v>
      </c>
      <c r="L52" s="59" t="s">
        <v>295</v>
      </c>
      <c r="M52" s="60" t="s">
        <v>135</v>
      </c>
      <c r="N52" s="60"/>
      <c r="O52" s="61" t="s">
        <v>284</v>
      </c>
      <c r="P52" s="61" t="s">
        <v>46</v>
      </c>
    </row>
    <row r="53" spans="1:16" ht="12.75" customHeight="1">
      <c r="A53" s="30" t="str">
        <f t="shared" si="6"/>
        <v> MHSB 22.81 </v>
      </c>
      <c r="B53" s="16" t="str">
        <f t="shared" si="7"/>
        <v>II</v>
      </c>
      <c r="C53" s="30">
        <f t="shared" si="8"/>
        <v>33947.175999999999</v>
      </c>
      <c r="D53" t="str">
        <f t="shared" si="9"/>
        <v>vis</v>
      </c>
      <c r="E53">
        <f>VLOOKUP(C53,Active!C$21:E$972,3,FALSE)</f>
        <v>-4420.003311526094</v>
      </c>
      <c r="F53" s="16" t="s">
        <v>124</v>
      </c>
      <c r="G53" t="str">
        <f t="shared" si="10"/>
        <v>33947.176</v>
      </c>
      <c r="H53" s="30">
        <f t="shared" si="11"/>
        <v>-4420.5</v>
      </c>
      <c r="I53" s="59" t="s">
        <v>296</v>
      </c>
      <c r="J53" s="60" t="s">
        <v>297</v>
      </c>
      <c r="K53" s="59">
        <v>-4420.5</v>
      </c>
      <c r="L53" s="59" t="s">
        <v>298</v>
      </c>
      <c r="M53" s="60" t="s">
        <v>135</v>
      </c>
      <c r="N53" s="60"/>
      <c r="O53" s="61" t="s">
        <v>284</v>
      </c>
      <c r="P53" s="61" t="s">
        <v>46</v>
      </c>
    </row>
    <row r="54" spans="1:16" ht="12.75" customHeight="1">
      <c r="A54" s="30" t="str">
        <f t="shared" si="6"/>
        <v> MHSB 22.81 </v>
      </c>
      <c r="B54" s="16" t="str">
        <f t="shared" si="7"/>
        <v>II</v>
      </c>
      <c r="C54" s="30">
        <f t="shared" si="8"/>
        <v>33960.315999999999</v>
      </c>
      <c r="D54" t="str">
        <f t="shared" si="9"/>
        <v>vis</v>
      </c>
      <c r="E54">
        <f>VLOOKUP(C54,Active!C$21:E$972,3,FALSE)</f>
        <v>-4415.0037190841949</v>
      </c>
      <c r="F54" s="16" t="s">
        <v>124</v>
      </c>
      <c r="G54" t="str">
        <f t="shared" si="10"/>
        <v>33960.316</v>
      </c>
      <c r="H54" s="30">
        <f t="shared" si="11"/>
        <v>-4415.5</v>
      </c>
      <c r="I54" s="59" t="s">
        <v>299</v>
      </c>
      <c r="J54" s="60" t="s">
        <v>300</v>
      </c>
      <c r="K54" s="59">
        <v>-4415.5</v>
      </c>
      <c r="L54" s="59" t="s">
        <v>301</v>
      </c>
      <c r="M54" s="60" t="s">
        <v>135</v>
      </c>
      <c r="N54" s="60"/>
      <c r="O54" s="61" t="s">
        <v>284</v>
      </c>
      <c r="P54" s="61" t="s">
        <v>46</v>
      </c>
    </row>
    <row r="55" spans="1:16" ht="12.75" customHeight="1">
      <c r="A55" s="30" t="str">
        <f t="shared" si="6"/>
        <v> PDDO 2.431 </v>
      </c>
      <c r="B55" s="16" t="str">
        <f t="shared" si="7"/>
        <v>II</v>
      </c>
      <c r="C55" s="30">
        <f t="shared" si="8"/>
        <v>34606.862999999998</v>
      </c>
      <c r="D55" t="str">
        <f t="shared" si="9"/>
        <v>vis</v>
      </c>
      <c r="E55">
        <f>VLOOKUP(C55,Active!C$21:E$972,3,FALSE)</f>
        <v>-4169.0013222400075</v>
      </c>
      <c r="F55" s="16" t="s">
        <v>124</v>
      </c>
      <c r="G55" t="str">
        <f t="shared" si="10"/>
        <v>34606.863</v>
      </c>
      <c r="H55" s="30">
        <f t="shared" si="11"/>
        <v>-4169.5</v>
      </c>
      <c r="I55" s="59" t="s">
        <v>302</v>
      </c>
      <c r="J55" s="60" t="s">
        <v>303</v>
      </c>
      <c r="K55" s="59">
        <v>-4169.5</v>
      </c>
      <c r="L55" s="59" t="s">
        <v>295</v>
      </c>
      <c r="M55" s="60" t="s">
        <v>128</v>
      </c>
      <c r="N55" s="60" t="s">
        <v>129</v>
      </c>
      <c r="O55" s="61" t="s">
        <v>304</v>
      </c>
      <c r="P55" s="61" t="s">
        <v>47</v>
      </c>
    </row>
    <row r="56" spans="1:16" ht="12.75" customHeight="1">
      <c r="A56" s="30" t="str">
        <f t="shared" si="6"/>
        <v> PDDO 2.431 </v>
      </c>
      <c r="B56" s="16" t="str">
        <f t="shared" si="7"/>
        <v>II</v>
      </c>
      <c r="C56" s="30">
        <f t="shared" si="8"/>
        <v>34622.633000000002</v>
      </c>
      <c r="D56" t="str">
        <f t="shared" si="9"/>
        <v>vis</v>
      </c>
      <c r="E56">
        <f>VLOOKUP(C56,Active!C$21:E$972,3,FALSE)</f>
        <v>-4163.001050336753</v>
      </c>
      <c r="F56" s="16" t="s">
        <v>124</v>
      </c>
      <c r="G56" t="str">
        <f t="shared" si="10"/>
        <v>34622.633</v>
      </c>
      <c r="H56" s="30">
        <f t="shared" si="11"/>
        <v>-4163.5</v>
      </c>
      <c r="I56" s="59" t="s">
        <v>305</v>
      </c>
      <c r="J56" s="60" t="s">
        <v>306</v>
      </c>
      <c r="K56" s="59">
        <v>-4163.5</v>
      </c>
      <c r="L56" s="59" t="s">
        <v>295</v>
      </c>
      <c r="M56" s="60" t="s">
        <v>128</v>
      </c>
      <c r="N56" s="60" t="s">
        <v>129</v>
      </c>
      <c r="O56" s="61" t="s">
        <v>304</v>
      </c>
      <c r="P56" s="61" t="s">
        <v>47</v>
      </c>
    </row>
    <row r="57" spans="1:16" ht="12.75" customHeight="1">
      <c r="A57" s="30" t="str">
        <f t="shared" si="6"/>
        <v> PDDO 2.431 </v>
      </c>
      <c r="B57" s="16" t="str">
        <f t="shared" si="7"/>
        <v>II</v>
      </c>
      <c r="C57" s="30">
        <f t="shared" si="8"/>
        <v>34635.769999999997</v>
      </c>
      <c r="D57" t="str">
        <f t="shared" si="9"/>
        <v>vis</v>
      </c>
      <c r="E57">
        <f>VLOOKUP(C57,Active!C$21:E$972,3,FALSE)</f>
        <v>-4158.0025993543168</v>
      </c>
      <c r="F57" s="16" t="s">
        <v>124</v>
      </c>
      <c r="G57" t="str">
        <f t="shared" si="10"/>
        <v>34635.770</v>
      </c>
      <c r="H57" s="30">
        <f t="shared" si="11"/>
        <v>-4158.5</v>
      </c>
      <c r="I57" s="59" t="s">
        <v>307</v>
      </c>
      <c r="J57" s="60" t="s">
        <v>308</v>
      </c>
      <c r="K57" s="59">
        <v>-4158.5</v>
      </c>
      <c r="L57" s="59" t="s">
        <v>309</v>
      </c>
      <c r="M57" s="60" t="s">
        <v>128</v>
      </c>
      <c r="N57" s="60" t="s">
        <v>129</v>
      </c>
      <c r="O57" s="61" t="s">
        <v>304</v>
      </c>
      <c r="P57" s="61" t="s">
        <v>47</v>
      </c>
    </row>
    <row r="58" spans="1:16" ht="12.75" customHeight="1">
      <c r="A58" s="30" t="str">
        <f t="shared" si="6"/>
        <v> PDDO 2.431 </v>
      </c>
      <c r="B58" s="16" t="str">
        <f t="shared" si="7"/>
        <v>II</v>
      </c>
      <c r="C58" s="30">
        <f t="shared" si="8"/>
        <v>34643.656000000003</v>
      </c>
      <c r="D58" t="str">
        <f t="shared" si="9"/>
        <v>vis</v>
      </c>
      <c r="E58">
        <f>VLOOKUP(C58,Active!C$21:E$972,3,FALSE)</f>
        <v>-4155.0020829162013</v>
      </c>
      <c r="F58" s="16" t="s">
        <v>124</v>
      </c>
      <c r="G58" t="str">
        <f t="shared" si="10"/>
        <v>34643.656</v>
      </c>
      <c r="H58" s="30">
        <f t="shared" si="11"/>
        <v>-4155.5</v>
      </c>
      <c r="I58" s="59" t="s">
        <v>310</v>
      </c>
      <c r="J58" s="60" t="s">
        <v>311</v>
      </c>
      <c r="K58" s="59">
        <v>-4155.5</v>
      </c>
      <c r="L58" s="59" t="s">
        <v>312</v>
      </c>
      <c r="M58" s="60" t="s">
        <v>128</v>
      </c>
      <c r="N58" s="60" t="s">
        <v>129</v>
      </c>
      <c r="O58" s="61" t="s">
        <v>304</v>
      </c>
      <c r="P58" s="61" t="s">
        <v>47</v>
      </c>
    </row>
    <row r="59" spans="1:16" ht="12.75" customHeight="1">
      <c r="A59" s="30" t="str">
        <f t="shared" si="6"/>
        <v> AA 12.138 </v>
      </c>
      <c r="B59" s="16" t="str">
        <f t="shared" si="7"/>
        <v>I</v>
      </c>
      <c r="C59" s="30">
        <f t="shared" si="8"/>
        <v>37204.358</v>
      </c>
      <c r="D59" t="str">
        <f t="shared" si="9"/>
        <v>vis</v>
      </c>
      <c r="E59">
        <f>VLOOKUP(C59,Active!C$21:E$972,3,FALSE)</f>
        <v>-3180.689574152409</v>
      </c>
      <c r="F59" s="16" t="s">
        <v>124</v>
      </c>
      <c r="G59" t="str">
        <f t="shared" si="10"/>
        <v>37204.358</v>
      </c>
      <c r="H59" s="30">
        <f t="shared" si="11"/>
        <v>-3181</v>
      </c>
      <c r="I59" s="59" t="s">
        <v>313</v>
      </c>
      <c r="J59" s="60" t="s">
        <v>314</v>
      </c>
      <c r="K59" s="59">
        <v>-3181</v>
      </c>
      <c r="L59" s="59" t="s">
        <v>315</v>
      </c>
      <c r="M59" s="60" t="s">
        <v>316</v>
      </c>
      <c r="N59" s="60"/>
      <c r="O59" s="61" t="s">
        <v>317</v>
      </c>
      <c r="P59" s="61" t="s">
        <v>48</v>
      </c>
    </row>
    <row r="60" spans="1:16" ht="12.75" customHeight="1">
      <c r="A60" s="30" t="str">
        <f t="shared" si="6"/>
        <v>BAVM 15 </v>
      </c>
      <c r="B60" s="16" t="str">
        <f t="shared" si="7"/>
        <v>I</v>
      </c>
      <c r="C60" s="30">
        <f t="shared" si="8"/>
        <v>37569.440000000002</v>
      </c>
      <c r="D60" t="str">
        <f t="shared" si="9"/>
        <v>vis</v>
      </c>
      <c r="E60">
        <f>VLOOKUP(C60,Active!C$21:E$972,3,FALSE)</f>
        <v>-3041.7808064299234</v>
      </c>
      <c r="F60" s="16" t="s">
        <v>124</v>
      </c>
      <c r="G60" t="str">
        <f t="shared" si="10"/>
        <v>37569.440</v>
      </c>
      <c r="H60" s="30">
        <f t="shared" si="11"/>
        <v>-3042</v>
      </c>
      <c r="I60" s="59" t="s">
        <v>318</v>
      </c>
      <c r="J60" s="60" t="s">
        <v>319</v>
      </c>
      <c r="K60" s="59">
        <v>-3042</v>
      </c>
      <c r="L60" s="59" t="s">
        <v>320</v>
      </c>
      <c r="M60" s="60" t="s">
        <v>135</v>
      </c>
      <c r="N60" s="60"/>
      <c r="O60" s="61" t="s">
        <v>321</v>
      </c>
      <c r="P60" s="62" t="s">
        <v>50</v>
      </c>
    </row>
    <row r="61" spans="1:16" ht="12.75" customHeight="1">
      <c r="A61" s="30" t="str">
        <f t="shared" si="6"/>
        <v> PZ 15.219 </v>
      </c>
      <c r="B61" s="16" t="str">
        <f t="shared" si="7"/>
        <v>I</v>
      </c>
      <c r="C61" s="30">
        <f t="shared" si="8"/>
        <v>38281.309000000001</v>
      </c>
      <c r="D61" t="str">
        <f t="shared" si="9"/>
        <v>vis</v>
      </c>
      <c r="E61">
        <f>VLOOKUP(C61,Active!C$21:E$972,3,FALSE)</f>
        <v>-2770.9242712684045</v>
      </c>
      <c r="F61" s="16" t="s">
        <v>124</v>
      </c>
      <c r="G61" t="str">
        <f t="shared" si="10"/>
        <v>38281.309</v>
      </c>
      <c r="H61" s="30">
        <f t="shared" si="11"/>
        <v>-2771</v>
      </c>
      <c r="I61" s="59" t="s">
        <v>322</v>
      </c>
      <c r="J61" s="60" t="s">
        <v>323</v>
      </c>
      <c r="K61" s="59">
        <v>-2771</v>
      </c>
      <c r="L61" s="59" t="s">
        <v>324</v>
      </c>
      <c r="M61" s="60" t="s">
        <v>135</v>
      </c>
      <c r="N61" s="60"/>
      <c r="O61" s="61" t="s">
        <v>325</v>
      </c>
      <c r="P61" s="61" t="s">
        <v>51</v>
      </c>
    </row>
    <row r="62" spans="1:16" ht="12.75" customHeight="1">
      <c r="A62" s="30" t="str">
        <f t="shared" si="6"/>
        <v> AAP 4.174 </v>
      </c>
      <c r="B62" s="16" t="str">
        <f t="shared" si="7"/>
        <v>I</v>
      </c>
      <c r="C62" s="30">
        <f t="shared" si="8"/>
        <v>38299.508000000002</v>
      </c>
      <c r="D62" t="str">
        <f t="shared" si="9"/>
        <v>vis</v>
      </c>
      <c r="E62">
        <f>VLOOKUP(C62,Active!C$21:E$972,3,FALSE)</f>
        <v>-2763.9997976877253</v>
      </c>
      <c r="F62" s="16" t="s">
        <v>124</v>
      </c>
      <c r="G62" t="str">
        <f t="shared" si="10"/>
        <v>38299.508</v>
      </c>
      <c r="H62" s="30">
        <f t="shared" si="11"/>
        <v>-2764</v>
      </c>
      <c r="I62" s="59" t="s">
        <v>326</v>
      </c>
      <c r="J62" s="60" t="s">
        <v>327</v>
      </c>
      <c r="K62" s="59">
        <v>-2764</v>
      </c>
      <c r="L62" s="59" t="s">
        <v>328</v>
      </c>
      <c r="M62" s="60" t="s">
        <v>128</v>
      </c>
      <c r="N62" s="60" t="s">
        <v>129</v>
      </c>
      <c r="O62" s="61" t="s">
        <v>329</v>
      </c>
      <c r="P62" s="61" t="s">
        <v>52</v>
      </c>
    </row>
    <row r="63" spans="1:16" ht="12.75" customHeight="1">
      <c r="A63" s="30" t="str">
        <f t="shared" si="6"/>
        <v> AAP 4.174 </v>
      </c>
      <c r="B63" s="16" t="str">
        <f t="shared" si="7"/>
        <v>I</v>
      </c>
      <c r="C63" s="30">
        <f t="shared" si="8"/>
        <v>39324.508999999998</v>
      </c>
      <c r="D63" t="str">
        <f t="shared" si="9"/>
        <v>vis</v>
      </c>
      <c r="E63">
        <f>VLOOKUP(C63,Active!C$21:E$972,3,FALSE)</f>
        <v>-2374.0007678141228</v>
      </c>
      <c r="F63" s="16" t="s">
        <v>124</v>
      </c>
      <c r="G63" t="str">
        <f t="shared" si="10"/>
        <v>39324.509</v>
      </c>
      <c r="H63" s="30">
        <f t="shared" si="11"/>
        <v>-2374</v>
      </c>
      <c r="I63" s="59" t="s">
        <v>330</v>
      </c>
      <c r="J63" s="60" t="s">
        <v>331</v>
      </c>
      <c r="K63" s="59">
        <v>-2374</v>
      </c>
      <c r="L63" s="59" t="s">
        <v>145</v>
      </c>
      <c r="M63" s="60" t="s">
        <v>128</v>
      </c>
      <c r="N63" s="60" t="s">
        <v>129</v>
      </c>
      <c r="O63" s="61" t="s">
        <v>329</v>
      </c>
      <c r="P63" s="61" t="s">
        <v>52</v>
      </c>
    </row>
    <row r="64" spans="1:16" ht="12.75" customHeight="1">
      <c r="A64" s="30" t="str">
        <f t="shared" si="6"/>
        <v> AJ 76.460 </v>
      </c>
      <c r="B64" s="16" t="str">
        <f t="shared" si="7"/>
        <v>I</v>
      </c>
      <c r="C64" s="30">
        <f t="shared" si="8"/>
        <v>40286.4329</v>
      </c>
      <c r="D64" t="str">
        <f t="shared" si="9"/>
        <v>vis</v>
      </c>
      <c r="E64">
        <f>VLOOKUP(C64,Active!C$21:E$972,3,FALSE)</f>
        <v>-2008.0017221427199</v>
      </c>
      <c r="F64" s="16" t="s">
        <v>124</v>
      </c>
      <c r="G64" t="str">
        <f t="shared" si="10"/>
        <v>40286.4329</v>
      </c>
      <c r="H64" s="30">
        <f t="shared" si="11"/>
        <v>-2008</v>
      </c>
      <c r="I64" s="59" t="s">
        <v>332</v>
      </c>
      <c r="J64" s="60" t="s">
        <v>333</v>
      </c>
      <c r="K64" s="59">
        <v>-2008</v>
      </c>
      <c r="L64" s="59" t="s">
        <v>334</v>
      </c>
      <c r="M64" s="60" t="s">
        <v>128</v>
      </c>
      <c r="N64" s="60" t="s">
        <v>129</v>
      </c>
      <c r="O64" s="61" t="s">
        <v>335</v>
      </c>
      <c r="P64" s="61" t="s">
        <v>53</v>
      </c>
    </row>
    <row r="65" spans="1:16" ht="12.75" customHeight="1">
      <c r="A65" s="30" t="str">
        <f t="shared" si="6"/>
        <v> AAP 4.174 </v>
      </c>
      <c r="B65" s="16" t="str">
        <f t="shared" si="7"/>
        <v>I</v>
      </c>
      <c r="C65" s="30">
        <f t="shared" si="8"/>
        <v>40462.525999999998</v>
      </c>
      <c r="D65" t="str">
        <f t="shared" si="9"/>
        <v>vis</v>
      </c>
      <c r="E65">
        <f>VLOOKUP(C65,Active!C$21:E$972,3,FALSE)</f>
        <v>-1941.0006771023398</v>
      </c>
      <c r="F65" s="16" t="s">
        <v>124</v>
      </c>
      <c r="G65" t="str">
        <f t="shared" si="10"/>
        <v>40462.526</v>
      </c>
      <c r="H65" s="30">
        <f t="shared" si="11"/>
        <v>-1941</v>
      </c>
      <c r="I65" s="59" t="s">
        <v>336</v>
      </c>
      <c r="J65" s="60" t="s">
        <v>337</v>
      </c>
      <c r="K65" s="59">
        <v>-1941</v>
      </c>
      <c r="L65" s="59" t="s">
        <v>145</v>
      </c>
      <c r="M65" s="60" t="s">
        <v>128</v>
      </c>
      <c r="N65" s="60" t="s">
        <v>129</v>
      </c>
      <c r="O65" s="61" t="s">
        <v>329</v>
      </c>
      <c r="P65" s="61" t="s">
        <v>52</v>
      </c>
    </row>
    <row r="66" spans="1:16" ht="12.75" customHeight="1">
      <c r="A66" s="30" t="str">
        <f t="shared" si="6"/>
        <v>BAVM 26 </v>
      </c>
      <c r="B66" s="16" t="str">
        <f t="shared" si="7"/>
        <v>II</v>
      </c>
      <c r="C66" s="30">
        <f t="shared" si="8"/>
        <v>40469.402000000002</v>
      </c>
      <c r="D66" t="str">
        <f t="shared" si="9"/>
        <v>vis</v>
      </c>
      <c r="E66">
        <f>VLOOKUP(C66,Active!C$21:E$972,3,FALSE)</f>
        <v>-1938.3844520163032</v>
      </c>
      <c r="F66" s="16" t="s">
        <v>124</v>
      </c>
      <c r="G66" t="str">
        <f t="shared" si="10"/>
        <v>40469.402</v>
      </c>
      <c r="H66" s="30">
        <f t="shared" si="11"/>
        <v>-1938.5</v>
      </c>
      <c r="I66" s="59" t="s">
        <v>338</v>
      </c>
      <c r="J66" s="60" t="s">
        <v>339</v>
      </c>
      <c r="K66" s="59">
        <v>-1938.5</v>
      </c>
      <c r="L66" s="59" t="s">
        <v>340</v>
      </c>
      <c r="M66" s="60" t="s">
        <v>135</v>
      </c>
      <c r="N66" s="60"/>
      <c r="O66" s="61" t="s">
        <v>321</v>
      </c>
      <c r="P66" s="62" t="s">
        <v>54</v>
      </c>
    </row>
    <row r="67" spans="1:16" ht="12.75" customHeight="1">
      <c r="A67" s="30" t="str">
        <f t="shared" si="6"/>
        <v> JBAA 83.454 </v>
      </c>
      <c r="B67" s="16" t="str">
        <f t="shared" si="7"/>
        <v>I</v>
      </c>
      <c r="C67" s="30">
        <f t="shared" si="8"/>
        <v>41587.366000000002</v>
      </c>
      <c r="D67" t="str">
        <f t="shared" si="9"/>
        <v>vis</v>
      </c>
      <c r="E67">
        <f>VLOOKUP(C67,Active!C$21:E$972,3,FALSE)</f>
        <v>-1513.0142568324807</v>
      </c>
      <c r="F67" s="16" t="s">
        <v>124</v>
      </c>
      <c r="G67" t="str">
        <f t="shared" si="10"/>
        <v>41587.366</v>
      </c>
      <c r="H67" s="30">
        <f t="shared" si="11"/>
        <v>-1513</v>
      </c>
      <c r="I67" s="59" t="s">
        <v>341</v>
      </c>
      <c r="J67" s="60" t="s">
        <v>342</v>
      </c>
      <c r="K67" s="59">
        <v>-1513</v>
      </c>
      <c r="L67" s="59" t="s">
        <v>343</v>
      </c>
      <c r="M67" s="60" t="s">
        <v>135</v>
      </c>
      <c r="N67" s="60"/>
      <c r="O67" s="61" t="s">
        <v>344</v>
      </c>
      <c r="P67" s="61" t="s">
        <v>60</v>
      </c>
    </row>
    <row r="68" spans="1:16" ht="12.75" customHeight="1">
      <c r="A68" s="30" t="str">
        <f t="shared" si="6"/>
        <v> JBAA 85.446 </v>
      </c>
      <c r="B68" s="16" t="str">
        <f t="shared" si="7"/>
        <v>I</v>
      </c>
      <c r="C68" s="30">
        <f t="shared" si="8"/>
        <v>41915.938999999998</v>
      </c>
      <c r="D68" t="str">
        <f t="shared" si="9"/>
        <v>vis</v>
      </c>
      <c r="E68">
        <f>VLOOKUP(C68,Active!C$21:E$972,3,FALSE)</f>
        <v>-1387.9966702714353</v>
      </c>
      <c r="F68" s="16" t="s">
        <v>124</v>
      </c>
      <c r="G68" t="str">
        <f t="shared" si="10"/>
        <v>41915.939</v>
      </c>
      <c r="H68" s="30">
        <f t="shared" si="11"/>
        <v>-1388</v>
      </c>
      <c r="I68" s="59" t="s">
        <v>345</v>
      </c>
      <c r="J68" s="60" t="s">
        <v>346</v>
      </c>
      <c r="K68" s="59">
        <v>-1388</v>
      </c>
      <c r="L68" s="59" t="s">
        <v>157</v>
      </c>
      <c r="M68" s="60" t="s">
        <v>135</v>
      </c>
      <c r="N68" s="60"/>
      <c r="O68" s="61" t="s">
        <v>347</v>
      </c>
      <c r="P68" s="61" t="s">
        <v>61</v>
      </c>
    </row>
    <row r="69" spans="1:16" ht="12.75" customHeight="1">
      <c r="A69" s="30" t="str">
        <f t="shared" si="6"/>
        <v> JBAA 85.446 </v>
      </c>
      <c r="B69" s="16" t="str">
        <f t="shared" si="7"/>
        <v>I</v>
      </c>
      <c r="C69" s="30">
        <f t="shared" si="8"/>
        <v>41926.440999999999</v>
      </c>
      <c r="D69" t="str">
        <f t="shared" si="9"/>
        <v>vis</v>
      </c>
      <c r="E69">
        <f>VLOOKUP(C69,Active!C$21:E$972,3,FALSE)</f>
        <v>-1384.0008011827877</v>
      </c>
      <c r="F69" s="16" t="s">
        <v>124</v>
      </c>
      <c r="G69" t="str">
        <f t="shared" si="10"/>
        <v>41926.441</v>
      </c>
      <c r="H69" s="30">
        <f t="shared" si="11"/>
        <v>-1384</v>
      </c>
      <c r="I69" s="59" t="s">
        <v>348</v>
      </c>
      <c r="J69" s="60" t="s">
        <v>349</v>
      </c>
      <c r="K69" s="59">
        <v>-1384</v>
      </c>
      <c r="L69" s="59" t="s">
        <v>145</v>
      </c>
      <c r="M69" s="60" t="s">
        <v>135</v>
      </c>
      <c r="N69" s="60"/>
      <c r="O69" s="61" t="s">
        <v>344</v>
      </c>
      <c r="P69" s="61" t="s">
        <v>61</v>
      </c>
    </row>
    <row r="70" spans="1:16" ht="12.75" customHeight="1">
      <c r="A70" s="30" t="str">
        <f t="shared" si="6"/>
        <v> JBAA 85.446 </v>
      </c>
      <c r="B70" s="16" t="str">
        <f t="shared" si="7"/>
        <v>I</v>
      </c>
      <c r="C70" s="30">
        <f t="shared" si="8"/>
        <v>41936.955999999998</v>
      </c>
      <c r="D70" t="str">
        <f t="shared" si="9"/>
        <v>vis</v>
      </c>
      <c r="E70">
        <f>VLOOKUP(C70,Active!C$21:E$972,3,FALSE)</f>
        <v>-1379.9999857698069</v>
      </c>
      <c r="F70" s="16" t="s">
        <v>124</v>
      </c>
      <c r="G70" t="str">
        <f t="shared" si="10"/>
        <v>41936.956</v>
      </c>
      <c r="H70" s="30">
        <f t="shared" si="11"/>
        <v>-1380</v>
      </c>
      <c r="I70" s="59" t="s">
        <v>350</v>
      </c>
      <c r="J70" s="60" t="s">
        <v>351</v>
      </c>
      <c r="K70" s="59">
        <v>-1380</v>
      </c>
      <c r="L70" s="59" t="s">
        <v>352</v>
      </c>
      <c r="M70" s="60" t="s">
        <v>135</v>
      </c>
      <c r="N70" s="60"/>
      <c r="O70" s="61" t="s">
        <v>347</v>
      </c>
      <c r="P70" s="61" t="s">
        <v>61</v>
      </c>
    </row>
    <row r="71" spans="1:16" ht="12.75" customHeight="1">
      <c r="A71" s="30" t="str">
        <f t="shared" si="6"/>
        <v> JBAA 85.446 </v>
      </c>
      <c r="B71" s="16" t="str">
        <f t="shared" si="7"/>
        <v>I</v>
      </c>
      <c r="C71" s="30">
        <f t="shared" si="8"/>
        <v>41997.383000000002</v>
      </c>
      <c r="D71" t="str">
        <f t="shared" si="9"/>
        <v>vis</v>
      </c>
      <c r="E71">
        <f>VLOOKUP(C71,Active!C$21:E$972,3,FALSE)</f>
        <v>-1357.0083288073517</v>
      </c>
      <c r="F71" s="16" t="s">
        <v>124</v>
      </c>
      <c r="G71" t="str">
        <f t="shared" si="10"/>
        <v>41997.383</v>
      </c>
      <c r="H71" s="30">
        <f t="shared" si="11"/>
        <v>-1357</v>
      </c>
      <c r="I71" s="59" t="s">
        <v>353</v>
      </c>
      <c r="J71" s="60" t="s">
        <v>354</v>
      </c>
      <c r="K71" s="59">
        <v>-1357</v>
      </c>
      <c r="L71" s="59" t="s">
        <v>355</v>
      </c>
      <c r="M71" s="60" t="s">
        <v>135</v>
      </c>
      <c r="N71" s="60"/>
      <c r="O71" s="61" t="s">
        <v>344</v>
      </c>
      <c r="P71" s="61" t="s">
        <v>61</v>
      </c>
    </row>
    <row r="72" spans="1:16" ht="12.75" customHeight="1">
      <c r="A72" s="30" t="str">
        <f t="shared" si="6"/>
        <v> JBAA 85.446 </v>
      </c>
      <c r="B72" s="16" t="str">
        <f t="shared" si="7"/>
        <v>I</v>
      </c>
      <c r="C72" s="30">
        <f t="shared" si="8"/>
        <v>42026.328000000001</v>
      </c>
      <c r="D72" t="str">
        <f t="shared" si="9"/>
        <v>vis</v>
      </c>
      <c r="E72">
        <f>VLOOKUP(C72,Active!C$21:E$972,3,FALSE)</f>
        <v>-1345.9951474351469</v>
      </c>
      <c r="F72" s="16" t="s">
        <v>124</v>
      </c>
      <c r="G72" t="str">
        <f t="shared" si="10"/>
        <v>42026.328</v>
      </c>
      <c r="H72" s="30">
        <f t="shared" si="11"/>
        <v>-1346</v>
      </c>
      <c r="I72" s="59" t="s">
        <v>356</v>
      </c>
      <c r="J72" s="60" t="s">
        <v>357</v>
      </c>
      <c r="K72" s="59">
        <v>-1346</v>
      </c>
      <c r="L72" s="59" t="s">
        <v>193</v>
      </c>
      <c r="M72" s="60" t="s">
        <v>135</v>
      </c>
      <c r="N72" s="60"/>
      <c r="O72" s="61" t="s">
        <v>358</v>
      </c>
      <c r="P72" s="61" t="s">
        <v>61</v>
      </c>
    </row>
    <row r="73" spans="1:16" ht="12.75" customHeight="1">
      <c r="A73" s="30" t="str">
        <f t="shared" si="6"/>
        <v> VSSC 58.18 </v>
      </c>
      <c r="B73" s="16" t="str">
        <f t="shared" si="7"/>
        <v>I</v>
      </c>
      <c r="C73" s="30">
        <f t="shared" si="8"/>
        <v>43022.404999999999</v>
      </c>
      <c r="D73" t="str">
        <f t="shared" si="9"/>
        <v>vis</v>
      </c>
      <c r="E73">
        <f>VLOOKUP(C73,Active!C$21:E$972,3,FALSE)</f>
        <v>-967.00130871751787</v>
      </c>
      <c r="F73" s="16" t="s">
        <v>124</v>
      </c>
      <c r="G73" t="str">
        <f t="shared" si="10"/>
        <v>43022.405</v>
      </c>
      <c r="H73" s="30">
        <f t="shared" si="11"/>
        <v>-967</v>
      </c>
      <c r="I73" s="59" t="s">
        <v>359</v>
      </c>
      <c r="J73" s="60" t="s">
        <v>360</v>
      </c>
      <c r="K73" s="59">
        <v>-967</v>
      </c>
      <c r="L73" s="59" t="s">
        <v>361</v>
      </c>
      <c r="M73" s="60" t="s">
        <v>135</v>
      </c>
      <c r="N73" s="60"/>
      <c r="O73" s="61" t="s">
        <v>358</v>
      </c>
      <c r="P73" s="61" t="s">
        <v>66</v>
      </c>
    </row>
    <row r="74" spans="1:16" ht="12.75" customHeight="1">
      <c r="A74" s="30" t="str">
        <f t="shared" si="6"/>
        <v> VSSC 59.19 </v>
      </c>
      <c r="B74" s="16" t="str">
        <f t="shared" si="7"/>
        <v>I</v>
      </c>
      <c r="C74" s="30">
        <f t="shared" si="8"/>
        <v>44168.311000000002</v>
      </c>
      <c r="D74" t="str">
        <f t="shared" si="9"/>
        <v>vis</v>
      </c>
      <c r="E74">
        <f>VLOOKUP(C74,Active!C$21:E$972,3,FALSE)</f>
        <v>-530.99956010815799</v>
      </c>
      <c r="F74" s="16" t="s">
        <v>124</v>
      </c>
      <c r="G74" t="str">
        <f t="shared" si="10"/>
        <v>44168.311</v>
      </c>
      <c r="H74" s="30">
        <f t="shared" si="11"/>
        <v>-531</v>
      </c>
      <c r="I74" s="59" t="s">
        <v>362</v>
      </c>
      <c r="J74" s="60" t="s">
        <v>363</v>
      </c>
      <c r="K74" s="59">
        <v>-531</v>
      </c>
      <c r="L74" s="59" t="s">
        <v>328</v>
      </c>
      <c r="M74" s="60" t="s">
        <v>135</v>
      </c>
      <c r="N74" s="60"/>
      <c r="O74" s="61" t="s">
        <v>358</v>
      </c>
      <c r="P74" s="61" t="s">
        <v>80</v>
      </c>
    </row>
    <row r="75" spans="1:16" ht="12.75" customHeight="1">
      <c r="A75" s="30" t="str">
        <f t="shared" ref="A75:A101" si="12">P75</f>
        <v> ALGL 36 </v>
      </c>
      <c r="B75" s="16" t="str">
        <f t="shared" ref="B75:B101" si="13">IF(H75=INT(H75),"I","II")</f>
        <v>I</v>
      </c>
      <c r="C75" s="30">
        <f t="shared" ref="C75:C101" si="14">1*G75</f>
        <v>44486.332999999999</v>
      </c>
      <c r="D75" t="str">
        <f t="shared" ref="D75:D101" si="15">VLOOKUP(F75,I$1:J$5,2,FALSE)</f>
        <v>vis</v>
      </c>
      <c r="E75">
        <f>VLOOKUP(C75,Active!C$21:E$972,3,FALSE)</f>
        <v>-409.99648647363267</v>
      </c>
      <c r="F75" s="16" t="s">
        <v>124</v>
      </c>
      <c r="G75" t="str">
        <f t="shared" ref="G75:G101" si="16">MID(I75,3,LEN(I75)-3)</f>
        <v>44486.333</v>
      </c>
      <c r="H75" s="30">
        <f t="shared" ref="H75:H101" si="17">1*K75</f>
        <v>-410</v>
      </c>
      <c r="I75" s="59" t="s">
        <v>364</v>
      </c>
      <c r="J75" s="60" t="s">
        <v>365</v>
      </c>
      <c r="K75" s="59">
        <v>-410</v>
      </c>
      <c r="L75" s="59" t="s">
        <v>157</v>
      </c>
      <c r="M75" s="60" t="s">
        <v>135</v>
      </c>
      <c r="N75" s="60"/>
      <c r="O75" s="61" t="s">
        <v>366</v>
      </c>
      <c r="P75" s="61" t="s">
        <v>83</v>
      </c>
    </row>
    <row r="76" spans="1:16" ht="12.75" customHeight="1">
      <c r="A76" s="30" t="str">
        <f t="shared" si="12"/>
        <v> ALGL 34 </v>
      </c>
      <c r="B76" s="16" t="str">
        <f t="shared" si="13"/>
        <v>I</v>
      </c>
      <c r="C76" s="30">
        <f t="shared" si="14"/>
        <v>45632.245999999999</v>
      </c>
      <c r="D76" t="str">
        <f t="shared" si="15"/>
        <v>vis</v>
      </c>
      <c r="E76">
        <f>VLOOKUP(C76,Active!C$21:E$972,3,FALSE)</f>
        <v>26.007925541136927</v>
      </c>
      <c r="F76" s="16" t="s">
        <v>124</v>
      </c>
      <c r="G76" t="str">
        <f t="shared" si="16"/>
        <v>45632.246</v>
      </c>
      <c r="H76" s="30">
        <f t="shared" si="17"/>
        <v>26</v>
      </c>
      <c r="I76" s="59" t="s">
        <v>367</v>
      </c>
      <c r="J76" s="60" t="s">
        <v>368</v>
      </c>
      <c r="K76" s="59">
        <v>26</v>
      </c>
      <c r="L76" s="59" t="s">
        <v>369</v>
      </c>
      <c r="M76" s="60" t="s">
        <v>135</v>
      </c>
      <c r="N76" s="60"/>
      <c r="O76" s="61" t="s">
        <v>370</v>
      </c>
      <c r="P76" s="61" t="s">
        <v>88</v>
      </c>
    </row>
    <row r="77" spans="1:16" ht="12.75" customHeight="1">
      <c r="A77" s="30" t="str">
        <f t="shared" si="12"/>
        <v> ALGL 35 </v>
      </c>
      <c r="B77" s="16" t="str">
        <f t="shared" si="13"/>
        <v>I</v>
      </c>
      <c r="C77" s="30">
        <f t="shared" si="14"/>
        <v>45674.273999999998</v>
      </c>
      <c r="D77" t="str">
        <f t="shared" si="15"/>
        <v>vis</v>
      </c>
      <c r="E77">
        <f>VLOOKUP(C77,Active!C$21:E$972,3,FALSE)</f>
        <v>41.99901162546972</v>
      </c>
      <c r="F77" s="16" t="s">
        <v>124</v>
      </c>
      <c r="G77" t="str">
        <f t="shared" si="16"/>
        <v>45674.274</v>
      </c>
      <c r="H77" s="30">
        <f t="shared" si="17"/>
        <v>42</v>
      </c>
      <c r="I77" s="59" t="s">
        <v>371</v>
      </c>
      <c r="J77" s="60" t="s">
        <v>372</v>
      </c>
      <c r="K77" s="59">
        <v>42</v>
      </c>
      <c r="L77" s="59" t="s">
        <v>361</v>
      </c>
      <c r="M77" s="60" t="s">
        <v>135</v>
      </c>
      <c r="N77" s="60"/>
      <c r="O77" s="61" t="s">
        <v>370</v>
      </c>
      <c r="P77" s="61" t="s">
        <v>89</v>
      </c>
    </row>
    <row r="78" spans="1:16" ht="12.75" customHeight="1">
      <c r="A78" s="30" t="str">
        <f t="shared" si="12"/>
        <v> VSSC 68.33 </v>
      </c>
      <c r="B78" s="16" t="str">
        <f t="shared" si="13"/>
        <v>I</v>
      </c>
      <c r="C78" s="30">
        <f t="shared" si="14"/>
        <v>46352.385999999999</v>
      </c>
      <c r="D78" t="str">
        <f t="shared" si="15"/>
        <v>vis</v>
      </c>
      <c r="E78">
        <f>VLOOKUP(C78,Active!C$21:E$972,3,FALSE)</f>
        <v>300.01146443834449</v>
      </c>
      <c r="F78" s="16" t="s">
        <v>124</v>
      </c>
      <c r="G78" t="str">
        <f t="shared" si="16"/>
        <v>46352.386</v>
      </c>
      <c r="H78" s="30">
        <f t="shared" si="17"/>
        <v>300</v>
      </c>
      <c r="I78" s="59" t="s">
        <v>373</v>
      </c>
      <c r="J78" s="60" t="s">
        <v>374</v>
      </c>
      <c r="K78" s="59">
        <v>300</v>
      </c>
      <c r="L78" s="59" t="s">
        <v>375</v>
      </c>
      <c r="M78" s="60" t="s">
        <v>135</v>
      </c>
      <c r="N78" s="60"/>
      <c r="O78" s="61" t="s">
        <v>376</v>
      </c>
      <c r="P78" s="61" t="s">
        <v>94</v>
      </c>
    </row>
    <row r="79" spans="1:16" ht="12.75" customHeight="1">
      <c r="A79" s="30" t="str">
        <f t="shared" si="12"/>
        <v> VSSC 68.33 </v>
      </c>
      <c r="B79" s="16" t="str">
        <f t="shared" si="13"/>
        <v>I</v>
      </c>
      <c r="C79" s="30">
        <f t="shared" si="14"/>
        <v>46720.307000000001</v>
      </c>
      <c r="D79" t="str">
        <f t="shared" si="15"/>
        <v>vis</v>
      </c>
      <c r="E79">
        <f>VLOOKUP(C79,Active!C$21:E$972,3,FALSE)</f>
        <v>440.00043329801088</v>
      </c>
      <c r="F79" s="16" t="s">
        <v>124</v>
      </c>
      <c r="G79" t="str">
        <f t="shared" si="16"/>
        <v>46720.307</v>
      </c>
      <c r="H79" s="30">
        <f t="shared" si="17"/>
        <v>440</v>
      </c>
      <c r="I79" s="59" t="s">
        <v>377</v>
      </c>
      <c r="J79" s="60" t="s">
        <v>378</v>
      </c>
      <c r="K79" s="59">
        <v>440</v>
      </c>
      <c r="L79" s="59" t="s">
        <v>328</v>
      </c>
      <c r="M79" s="60" t="s">
        <v>135</v>
      </c>
      <c r="N79" s="60"/>
      <c r="O79" s="61" t="s">
        <v>379</v>
      </c>
      <c r="P79" s="61" t="s">
        <v>94</v>
      </c>
    </row>
    <row r="80" spans="1:16" ht="12.75" customHeight="1">
      <c r="A80" s="30" t="str">
        <f t="shared" si="12"/>
        <v> VSSC 72.26 </v>
      </c>
      <c r="B80" s="16" t="str">
        <f t="shared" si="13"/>
        <v>I</v>
      </c>
      <c r="C80" s="30">
        <f t="shared" si="14"/>
        <v>47469.358999999997</v>
      </c>
      <c r="D80" t="str">
        <f t="shared" si="15"/>
        <v>vis</v>
      </c>
      <c r="E80">
        <f>VLOOKUP(C80,Active!C$21:E$972,3,FALSE)</f>
        <v>725.00459751334427</v>
      </c>
      <c r="F80" s="16" t="s">
        <v>124</v>
      </c>
      <c r="G80" t="str">
        <f t="shared" si="16"/>
        <v>47469.359</v>
      </c>
      <c r="H80" s="30">
        <f t="shared" si="17"/>
        <v>725</v>
      </c>
      <c r="I80" s="59" t="s">
        <v>380</v>
      </c>
      <c r="J80" s="60" t="s">
        <v>381</v>
      </c>
      <c r="K80" s="59">
        <v>725</v>
      </c>
      <c r="L80" s="59" t="s">
        <v>382</v>
      </c>
      <c r="M80" s="60" t="s">
        <v>135</v>
      </c>
      <c r="N80" s="60"/>
      <c r="O80" s="61" t="s">
        <v>376</v>
      </c>
      <c r="P80" s="61" t="s">
        <v>96</v>
      </c>
    </row>
    <row r="81" spans="1:16" ht="12.75" customHeight="1">
      <c r="A81" s="30" t="str">
        <f t="shared" si="12"/>
        <v> ALBO 1993 1 </v>
      </c>
      <c r="B81" s="16" t="str">
        <f t="shared" si="13"/>
        <v>I</v>
      </c>
      <c r="C81" s="30">
        <f t="shared" si="14"/>
        <v>48954.288999999997</v>
      </c>
      <c r="D81" t="str">
        <f t="shared" si="15"/>
        <v>vis</v>
      </c>
      <c r="E81">
        <f>VLOOKUP(C81,Active!C$21:E$972,3,FALSE)</f>
        <v>1290.0003969615498</v>
      </c>
      <c r="F81" s="16" t="s">
        <v>124</v>
      </c>
      <c r="G81" t="str">
        <f t="shared" si="16"/>
        <v>48954.289</v>
      </c>
      <c r="H81" s="30">
        <f t="shared" si="17"/>
        <v>1290</v>
      </c>
      <c r="I81" s="59" t="s">
        <v>383</v>
      </c>
      <c r="J81" s="60" t="s">
        <v>384</v>
      </c>
      <c r="K81" s="59">
        <v>1290</v>
      </c>
      <c r="L81" s="59" t="s">
        <v>328</v>
      </c>
      <c r="M81" s="60" t="s">
        <v>135</v>
      </c>
      <c r="N81" s="60"/>
      <c r="O81" s="61" t="s">
        <v>385</v>
      </c>
      <c r="P81" s="61" t="s">
        <v>101</v>
      </c>
    </row>
    <row r="82" spans="1:16" ht="12.75" customHeight="1">
      <c r="A82" s="30" t="str">
        <f t="shared" si="12"/>
        <v> ALBO 1994 2 </v>
      </c>
      <c r="B82" s="16" t="str">
        <f t="shared" si="13"/>
        <v>I</v>
      </c>
      <c r="C82" s="30">
        <f t="shared" si="14"/>
        <v>49222.362999999998</v>
      </c>
      <c r="D82" t="str">
        <f t="shared" si="15"/>
        <v>vis</v>
      </c>
      <c r="E82">
        <f>VLOOKUP(C82,Active!C$21:E$972,3,FALSE)</f>
        <v>1391.998931533064</v>
      </c>
      <c r="F82" s="16" t="s">
        <v>124</v>
      </c>
      <c r="G82" t="str">
        <f t="shared" si="16"/>
        <v>49222.363</v>
      </c>
      <c r="H82" s="30">
        <f t="shared" si="17"/>
        <v>1392</v>
      </c>
      <c r="I82" s="59" t="s">
        <v>386</v>
      </c>
      <c r="J82" s="60" t="s">
        <v>387</v>
      </c>
      <c r="K82" s="59">
        <v>1392</v>
      </c>
      <c r="L82" s="59" t="s">
        <v>361</v>
      </c>
      <c r="M82" s="60" t="s">
        <v>135</v>
      </c>
      <c r="N82" s="60"/>
      <c r="O82" s="61" t="s">
        <v>385</v>
      </c>
      <c r="P82" s="61" t="s">
        <v>102</v>
      </c>
    </row>
    <row r="83" spans="1:16" ht="12.75" customHeight="1">
      <c r="A83" s="30" t="str">
        <f t="shared" si="12"/>
        <v> ALBO 1995 2 </v>
      </c>
      <c r="B83" s="16" t="str">
        <f t="shared" si="13"/>
        <v>I</v>
      </c>
      <c r="C83" s="30">
        <f t="shared" si="14"/>
        <v>49603.47</v>
      </c>
      <c r="D83" t="str">
        <f t="shared" si="15"/>
        <v>vis</v>
      </c>
      <c r="E83">
        <f>VLOOKUP(C83,Active!C$21:E$972,3,FALSE)</f>
        <v>1537.0049952130416</v>
      </c>
      <c r="F83" s="16" t="s">
        <v>124</v>
      </c>
      <c r="G83" t="str">
        <f t="shared" si="16"/>
        <v>49603.470</v>
      </c>
      <c r="H83" s="30">
        <f t="shared" si="17"/>
        <v>1537</v>
      </c>
      <c r="I83" s="59" t="s">
        <v>388</v>
      </c>
      <c r="J83" s="60" t="s">
        <v>389</v>
      </c>
      <c r="K83" s="59">
        <v>1537</v>
      </c>
      <c r="L83" s="59" t="s">
        <v>193</v>
      </c>
      <c r="M83" s="60" t="s">
        <v>135</v>
      </c>
      <c r="N83" s="60"/>
      <c r="O83" s="61" t="s">
        <v>385</v>
      </c>
      <c r="P83" s="61" t="s">
        <v>103</v>
      </c>
    </row>
    <row r="84" spans="1:16" ht="12.75" customHeight="1">
      <c r="A84" s="30" t="str">
        <f t="shared" si="12"/>
        <v> BRNO 32 </v>
      </c>
      <c r="B84" s="16" t="str">
        <f t="shared" si="13"/>
        <v>I</v>
      </c>
      <c r="C84" s="30">
        <f t="shared" si="14"/>
        <v>49929.3514</v>
      </c>
      <c r="D84" t="str">
        <f t="shared" si="15"/>
        <v>vis</v>
      </c>
      <c r="E84">
        <f>VLOOKUP(C84,Active!C$21:E$972,3,FALSE)</f>
        <v>1660.9984643451216</v>
      </c>
      <c r="F84" s="16" t="str">
        <f>LEFT(M84,1)</f>
        <v>V</v>
      </c>
      <c r="G84" t="str">
        <f t="shared" si="16"/>
        <v>49929.3514</v>
      </c>
      <c r="H84" s="30">
        <f t="shared" si="17"/>
        <v>1661</v>
      </c>
      <c r="I84" s="59" t="s">
        <v>390</v>
      </c>
      <c r="J84" s="60" t="s">
        <v>391</v>
      </c>
      <c r="K84" s="59">
        <v>1661</v>
      </c>
      <c r="L84" s="59" t="s">
        <v>392</v>
      </c>
      <c r="M84" s="60" t="s">
        <v>135</v>
      </c>
      <c r="N84" s="60"/>
      <c r="O84" s="61" t="s">
        <v>393</v>
      </c>
      <c r="P84" s="61" t="s">
        <v>104</v>
      </c>
    </row>
    <row r="85" spans="1:16" ht="12.75" customHeight="1">
      <c r="A85" s="30" t="str">
        <f t="shared" si="12"/>
        <v> BRNO 32 </v>
      </c>
      <c r="B85" s="16" t="str">
        <f t="shared" si="13"/>
        <v>I</v>
      </c>
      <c r="C85" s="30">
        <f t="shared" si="14"/>
        <v>49942.503900000003</v>
      </c>
      <c r="D85" t="str">
        <f t="shared" si="15"/>
        <v>vis</v>
      </c>
      <c r="E85">
        <f>VLOOKUP(C85,Active!C$21:E$972,3,FALSE)</f>
        <v>1666.0028128681124</v>
      </c>
      <c r="F85" s="16" t="str">
        <f>LEFT(M85,1)</f>
        <v>V</v>
      </c>
      <c r="G85" t="str">
        <f t="shared" si="16"/>
        <v>49942.5039</v>
      </c>
      <c r="H85" s="30">
        <f t="shared" si="17"/>
        <v>1666</v>
      </c>
      <c r="I85" s="59" t="s">
        <v>394</v>
      </c>
      <c r="J85" s="60" t="s">
        <v>395</v>
      </c>
      <c r="K85" s="59">
        <v>1666</v>
      </c>
      <c r="L85" s="59" t="s">
        <v>396</v>
      </c>
      <c r="M85" s="60" t="s">
        <v>135</v>
      </c>
      <c r="N85" s="60"/>
      <c r="O85" s="61" t="s">
        <v>393</v>
      </c>
      <c r="P85" s="61" t="s">
        <v>104</v>
      </c>
    </row>
    <row r="86" spans="1:16" ht="12.75" customHeight="1">
      <c r="A86" s="30" t="str">
        <f t="shared" si="12"/>
        <v> BRNO 32 </v>
      </c>
      <c r="B86" s="16" t="str">
        <f t="shared" si="13"/>
        <v>I</v>
      </c>
      <c r="C86" s="30">
        <f t="shared" si="14"/>
        <v>50439.220399999998</v>
      </c>
      <c r="D86" t="str">
        <f t="shared" si="15"/>
        <v>vis</v>
      </c>
      <c r="E86">
        <f>VLOOKUP(C86,Active!C$21:E$972,3,FALSE)</f>
        <v>1854.996729090838</v>
      </c>
      <c r="F86" s="16" t="s">
        <v>124</v>
      </c>
      <c r="G86" t="str">
        <f t="shared" si="16"/>
        <v>50439.2204</v>
      </c>
      <c r="H86" s="30">
        <f t="shared" si="17"/>
        <v>1855</v>
      </c>
      <c r="I86" s="59" t="s">
        <v>397</v>
      </c>
      <c r="J86" s="60" t="s">
        <v>398</v>
      </c>
      <c r="K86" s="59">
        <v>1855</v>
      </c>
      <c r="L86" s="59" t="s">
        <v>399</v>
      </c>
      <c r="M86" s="60" t="s">
        <v>135</v>
      </c>
      <c r="N86" s="60"/>
      <c r="O86" s="61" t="s">
        <v>400</v>
      </c>
      <c r="P86" s="61" t="s">
        <v>104</v>
      </c>
    </row>
    <row r="87" spans="1:16" ht="12.75" customHeight="1">
      <c r="A87" s="30" t="str">
        <f t="shared" si="12"/>
        <v> BRNO 32 </v>
      </c>
      <c r="B87" s="16" t="str">
        <f t="shared" si="13"/>
        <v>I</v>
      </c>
      <c r="C87" s="30">
        <f t="shared" si="14"/>
        <v>50628.474699999999</v>
      </c>
      <c r="D87" t="str">
        <f t="shared" si="15"/>
        <v>vis</v>
      </c>
      <c r="E87">
        <f>VLOOKUP(C87,Active!C$21:E$972,3,FALSE)</f>
        <v>1927.005432886647</v>
      </c>
      <c r="F87" s="16" t="s">
        <v>124</v>
      </c>
      <c r="G87" t="str">
        <f t="shared" si="16"/>
        <v>50628.4747</v>
      </c>
      <c r="H87" s="30">
        <f t="shared" si="17"/>
        <v>1927</v>
      </c>
      <c r="I87" s="59" t="s">
        <v>401</v>
      </c>
      <c r="J87" s="60" t="s">
        <v>402</v>
      </c>
      <c r="K87" s="59">
        <v>1927</v>
      </c>
      <c r="L87" s="59" t="s">
        <v>403</v>
      </c>
      <c r="M87" s="60" t="s">
        <v>135</v>
      </c>
      <c r="N87" s="60"/>
      <c r="O87" s="61" t="s">
        <v>404</v>
      </c>
      <c r="P87" s="61" t="s">
        <v>104</v>
      </c>
    </row>
    <row r="88" spans="1:16" ht="12.75" customHeight="1">
      <c r="A88" s="30" t="str">
        <f t="shared" si="12"/>
        <v> BRNO 32 </v>
      </c>
      <c r="B88" s="16" t="str">
        <f t="shared" si="13"/>
        <v>I</v>
      </c>
      <c r="C88" s="30">
        <f t="shared" si="14"/>
        <v>50628.478799999997</v>
      </c>
      <c r="D88" t="str">
        <f t="shared" si="15"/>
        <v>vis</v>
      </c>
      <c r="E88">
        <f>VLOOKUP(C88,Active!C$21:E$972,3,FALSE)</f>
        <v>1927.0069928812441</v>
      </c>
      <c r="F88" s="16" t="s">
        <v>124</v>
      </c>
      <c r="G88" t="str">
        <f t="shared" si="16"/>
        <v>50628.4788</v>
      </c>
      <c r="H88" s="30">
        <f t="shared" si="17"/>
        <v>1927</v>
      </c>
      <c r="I88" s="59" t="s">
        <v>405</v>
      </c>
      <c r="J88" s="60" t="s">
        <v>406</v>
      </c>
      <c r="K88" s="59">
        <v>1927</v>
      </c>
      <c r="L88" s="59" t="s">
        <v>407</v>
      </c>
      <c r="M88" s="60" t="s">
        <v>135</v>
      </c>
      <c r="N88" s="60"/>
      <c r="O88" s="61" t="s">
        <v>408</v>
      </c>
      <c r="P88" s="61" t="s">
        <v>104</v>
      </c>
    </row>
    <row r="89" spans="1:16" ht="12.75" customHeight="1">
      <c r="A89" s="30" t="str">
        <f t="shared" si="12"/>
        <v> BRNO 32 </v>
      </c>
      <c r="B89" s="16" t="str">
        <f t="shared" si="13"/>
        <v>I</v>
      </c>
      <c r="C89" s="30">
        <f t="shared" si="14"/>
        <v>50628.480199999998</v>
      </c>
      <c r="D89" t="str">
        <f t="shared" si="15"/>
        <v>vis</v>
      </c>
      <c r="E89">
        <f>VLOOKUP(C89,Active!C$21:E$972,3,FALSE)</f>
        <v>1927.0075255623265</v>
      </c>
      <c r="F89" s="16" t="s">
        <v>124</v>
      </c>
      <c r="G89" t="str">
        <f t="shared" si="16"/>
        <v>50628.4802</v>
      </c>
      <c r="H89" s="30">
        <f t="shared" si="17"/>
        <v>1927</v>
      </c>
      <c r="I89" s="59" t="s">
        <v>409</v>
      </c>
      <c r="J89" s="60" t="s">
        <v>410</v>
      </c>
      <c r="K89" s="59">
        <v>1927</v>
      </c>
      <c r="L89" s="59" t="s">
        <v>411</v>
      </c>
      <c r="M89" s="60" t="s">
        <v>135</v>
      </c>
      <c r="N89" s="60"/>
      <c r="O89" s="61" t="s">
        <v>412</v>
      </c>
      <c r="P89" s="61" t="s">
        <v>104</v>
      </c>
    </row>
    <row r="90" spans="1:16" ht="12.75" customHeight="1">
      <c r="A90" s="30" t="str">
        <f t="shared" si="12"/>
        <v> BRNO 32 </v>
      </c>
      <c r="B90" s="16" t="str">
        <f t="shared" si="13"/>
        <v>I</v>
      </c>
      <c r="C90" s="30">
        <f t="shared" si="14"/>
        <v>50628.481599999999</v>
      </c>
      <c r="D90" t="str">
        <f t="shared" si="15"/>
        <v>vis</v>
      </c>
      <c r="E90">
        <f>VLOOKUP(C90,Active!C$21:E$972,3,FALSE)</f>
        <v>1927.0080582434089</v>
      </c>
      <c r="F90" s="16" t="s">
        <v>124</v>
      </c>
      <c r="G90" t="str">
        <f t="shared" si="16"/>
        <v>50628.4816</v>
      </c>
      <c r="H90" s="30">
        <f t="shared" si="17"/>
        <v>1927</v>
      </c>
      <c r="I90" s="59" t="s">
        <v>413</v>
      </c>
      <c r="J90" s="60" t="s">
        <v>414</v>
      </c>
      <c r="K90" s="59">
        <v>1927</v>
      </c>
      <c r="L90" s="59" t="s">
        <v>415</v>
      </c>
      <c r="M90" s="60" t="s">
        <v>135</v>
      </c>
      <c r="N90" s="60"/>
      <c r="O90" s="61" t="s">
        <v>416</v>
      </c>
      <c r="P90" s="61" t="s">
        <v>104</v>
      </c>
    </row>
    <row r="91" spans="1:16" ht="12.75" customHeight="1">
      <c r="A91" s="30" t="str">
        <f t="shared" si="12"/>
        <v> BRNO 32 </v>
      </c>
      <c r="B91" s="16" t="str">
        <f t="shared" si="13"/>
        <v>I</v>
      </c>
      <c r="C91" s="30">
        <f t="shared" si="14"/>
        <v>50628.485800000002</v>
      </c>
      <c r="D91" t="str">
        <f t="shared" si="15"/>
        <v>vis</v>
      </c>
      <c r="E91">
        <f>VLOOKUP(C91,Active!C$21:E$972,3,FALSE)</f>
        <v>1927.0096562866563</v>
      </c>
      <c r="F91" s="16" t="s">
        <v>124</v>
      </c>
      <c r="G91" t="str">
        <f t="shared" si="16"/>
        <v>50628.4858</v>
      </c>
      <c r="H91" s="30">
        <f t="shared" si="17"/>
        <v>1927</v>
      </c>
      <c r="I91" s="59" t="s">
        <v>417</v>
      </c>
      <c r="J91" s="60" t="s">
        <v>418</v>
      </c>
      <c r="K91" s="59">
        <v>1927</v>
      </c>
      <c r="L91" s="59" t="s">
        <v>419</v>
      </c>
      <c r="M91" s="60" t="s">
        <v>135</v>
      </c>
      <c r="N91" s="60"/>
      <c r="O91" s="61" t="s">
        <v>420</v>
      </c>
      <c r="P91" s="61" t="s">
        <v>104</v>
      </c>
    </row>
    <row r="92" spans="1:16" ht="12.75" customHeight="1">
      <c r="A92" s="30" t="str">
        <f t="shared" si="12"/>
        <v> BRNO 32 </v>
      </c>
      <c r="B92" s="16" t="str">
        <f t="shared" si="13"/>
        <v>I</v>
      </c>
      <c r="C92" s="30">
        <f t="shared" si="14"/>
        <v>50628.489200000004</v>
      </c>
      <c r="D92" t="str">
        <f t="shared" si="15"/>
        <v>vis</v>
      </c>
      <c r="E92">
        <f>VLOOKUP(C92,Active!C$21:E$972,3,FALSE)</f>
        <v>1927.0109499407133</v>
      </c>
      <c r="F92" s="16" t="s">
        <v>124</v>
      </c>
      <c r="G92" t="str">
        <f t="shared" si="16"/>
        <v>50628.4892</v>
      </c>
      <c r="H92" s="30">
        <f t="shared" si="17"/>
        <v>1927</v>
      </c>
      <c r="I92" s="59" t="s">
        <v>421</v>
      </c>
      <c r="J92" s="60" t="s">
        <v>422</v>
      </c>
      <c r="K92" s="59">
        <v>1927</v>
      </c>
      <c r="L92" s="59" t="s">
        <v>423</v>
      </c>
      <c r="M92" s="60" t="s">
        <v>135</v>
      </c>
      <c r="N92" s="60"/>
      <c r="O92" s="61" t="s">
        <v>424</v>
      </c>
      <c r="P92" s="61" t="s">
        <v>104</v>
      </c>
    </row>
    <row r="93" spans="1:16" ht="12.75" customHeight="1">
      <c r="A93" s="30" t="str">
        <f t="shared" si="12"/>
        <v>BAVM 131 </v>
      </c>
      <c r="B93" s="16" t="str">
        <f t="shared" si="13"/>
        <v>I</v>
      </c>
      <c r="C93" s="30">
        <f t="shared" si="14"/>
        <v>51377.497000000003</v>
      </c>
      <c r="D93" t="str">
        <f t="shared" si="15"/>
        <v>vis</v>
      </c>
      <c r="E93">
        <f>VLOOKUP(C93,Active!C$21:E$972,3,FALSE)</f>
        <v>2211.9982966533134</v>
      </c>
      <c r="F93" s="16" t="s">
        <v>124</v>
      </c>
      <c r="G93" t="str">
        <f t="shared" si="16"/>
        <v>51377.497</v>
      </c>
      <c r="H93" s="30">
        <f t="shared" si="17"/>
        <v>2212</v>
      </c>
      <c r="I93" s="59" t="s">
        <v>425</v>
      </c>
      <c r="J93" s="60" t="s">
        <v>426</v>
      </c>
      <c r="K93" s="59">
        <v>2212</v>
      </c>
      <c r="L93" s="59" t="s">
        <v>427</v>
      </c>
      <c r="M93" s="60" t="s">
        <v>135</v>
      </c>
      <c r="N93" s="60"/>
      <c r="O93" s="61" t="s">
        <v>265</v>
      </c>
      <c r="P93" s="62" t="s">
        <v>105</v>
      </c>
    </row>
    <row r="94" spans="1:16" ht="12.75" customHeight="1">
      <c r="A94" s="30" t="str">
        <f t="shared" si="12"/>
        <v> BBS 123 </v>
      </c>
      <c r="B94" s="16" t="str">
        <f t="shared" si="13"/>
        <v>I</v>
      </c>
      <c r="C94" s="30">
        <f t="shared" si="14"/>
        <v>51456.351000000002</v>
      </c>
      <c r="D94" t="str">
        <f t="shared" si="15"/>
        <v>vis</v>
      </c>
      <c r="E94">
        <f>VLOOKUP(C94,Active!C$21:E$972,3,FALSE)</f>
        <v>2242.0011781155295</v>
      </c>
      <c r="F94" s="16" t="s">
        <v>124</v>
      </c>
      <c r="G94" t="str">
        <f t="shared" si="16"/>
        <v>51456.351</v>
      </c>
      <c r="H94" s="30">
        <f t="shared" si="17"/>
        <v>2242</v>
      </c>
      <c r="I94" s="59" t="s">
        <v>428</v>
      </c>
      <c r="J94" s="60" t="s">
        <v>429</v>
      </c>
      <c r="K94" s="59">
        <v>2242</v>
      </c>
      <c r="L94" s="59" t="s">
        <v>226</v>
      </c>
      <c r="M94" s="60" t="s">
        <v>135</v>
      </c>
      <c r="N94" s="60"/>
      <c r="O94" s="61" t="s">
        <v>430</v>
      </c>
      <c r="P94" s="61" t="s">
        <v>106</v>
      </c>
    </row>
    <row r="95" spans="1:16" ht="12.75" customHeight="1">
      <c r="A95" s="30" t="str">
        <f t="shared" si="12"/>
        <v>BAVM 143 </v>
      </c>
      <c r="B95" s="16" t="str">
        <f t="shared" si="13"/>
        <v>I</v>
      </c>
      <c r="C95" s="30">
        <f t="shared" si="14"/>
        <v>51816.396999999997</v>
      </c>
      <c r="D95" t="str">
        <f t="shared" si="15"/>
        <v>vis</v>
      </c>
      <c r="E95">
        <f>VLOOKUP(C95,Active!C$21:E$972,3,FALSE)</f>
        <v>2378.9938158884383</v>
      </c>
      <c r="F95" s="16" t="s">
        <v>124</v>
      </c>
      <c r="G95" t="str">
        <f t="shared" si="16"/>
        <v>51816.397</v>
      </c>
      <c r="H95" s="30">
        <f t="shared" si="17"/>
        <v>2379</v>
      </c>
      <c r="I95" s="59" t="s">
        <v>431</v>
      </c>
      <c r="J95" s="60" t="s">
        <v>432</v>
      </c>
      <c r="K95" s="59">
        <v>2379</v>
      </c>
      <c r="L95" s="59" t="s">
        <v>433</v>
      </c>
      <c r="M95" s="60" t="s">
        <v>135</v>
      </c>
      <c r="N95" s="60"/>
      <c r="O95" s="61" t="s">
        <v>265</v>
      </c>
      <c r="P95" s="62" t="s">
        <v>107</v>
      </c>
    </row>
    <row r="96" spans="1:16" ht="12.75" customHeight="1">
      <c r="A96" s="30" t="str">
        <f t="shared" si="12"/>
        <v>BAVM 179 </v>
      </c>
      <c r="B96" s="16" t="str">
        <f t="shared" si="13"/>
        <v>I</v>
      </c>
      <c r="C96" s="30">
        <f t="shared" si="14"/>
        <v>53611.502999999997</v>
      </c>
      <c r="D96" t="str">
        <f t="shared" si="15"/>
        <v>vis</v>
      </c>
      <c r="E96">
        <f>VLOOKUP(C96,Active!C$21:E$972,3,FALSE)</f>
        <v>3062.0073919925444</v>
      </c>
      <c r="F96" s="16" t="s">
        <v>124</v>
      </c>
      <c r="G96" t="str">
        <f t="shared" si="16"/>
        <v>53611.503</v>
      </c>
      <c r="H96" s="30">
        <f t="shared" si="17"/>
        <v>3062</v>
      </c>
      <c r="I96" s="59" t="s">
        <v>434</v>
      </c>
      <c r="J96" s="60" t="s">
        <v>435</v>
      </c>
      <c r="K96" s="59">
        <v>3062</v>
      </c>
      <c r="L96" s="59" t="s">
        <v>436</v>
      </c>
      <c r="M96" s="60" t="s">
        <v>135</v>
      </c>
      <c r="N96" s="60"/>
      <c r="O96" s="61" t="s">
        <v>265</v>
      </c>
      <c r="P96" s="62" t="s">
        <v>109</v>
      </c>
    </row>
    <row r="97" spans="1:16" ht="12.75" customHeight="1">
      <c r="A97" s="30" t="str">
        <f t="shared" si="12"/>
        <v>VSB 45 </v>
      </c>
      <c r="B97" s="16" t="str">
        <f t="shared" si="13"/>
        <v>I</v>
      </c>
      <c r="C97" s="30">
        <f t="shared" si="14"/>
        <v>53982.0694</v>
      </c>
      <c r="D97" t="str">
        <f t="shared" si="15"/>
        <v>vis</v>
      </c>
      <c r="E97">
        <f>VLOOKUP(C97,Active!C$21:E$972,3,FALSE)</f>
        <v>3203.0028998054686</v>
      </c>
      <c r="F97" s="16" t="s">
        <v>124</v>
      </c>
      <c r="G97" t="str">
        <f t="shared" si="16"/>
        <v>53982.0694</v>
      </c>
      <c r="H97" s="30">
        <f t="shared" si="17"/>
        <v>3203</v>
      </c>
      <c r="I97" s="59" t="s">
        <v>437</v>
      </c>
      <c r="J97" s="60" t="s">
        <v>438</v>
      </c>
      <c r="K97" s="59">
        <v>3203</v>
      </c>
      <c r="L97" s="59" t="s">
        <v>439</v>
      </c>
      <c r="M97" s="60" t="s">
        <v>128</v>
      </c>
      <c r="N97" s="60" t="s">
        <v>129</v>
      </c>
      <c r="O97" s="61" t="s">
        <v>440</v>
      </c>
      <c r="P97" s="62" t="s">
        <v>110</v>
      </c>
    </row>
    <row r="98" spans="1:16" ht="12.75" customHeight="1">
      <c r="A98" s="30" t="str">
        <f t="shared" si="12"/>
        <v>VSB 45 </v>
      </c>
      <c r="B98" s="16" t="str">
        <f t="shared" si="13"/>
        <v>I</v>
      </c>
      <c r="C98" s="30">
        <f t="shared" si="14"/>
        <v>54003.082999999999</v>
      </c>
      <c r="D98" t="str">
        <f t="shared" si="15"/>
        <v>vis</v>
      </c>
      <c r="E98">
        <f>VLOOKUP(C98,Active!C$21:E$972,3,FALSE)</f>
        <v>3210.9982906530399</v>
      </c>
      <c r="F98" s="16" t="s">
        <v>124</v>
      </c>
      <c r="G98" t="str">
        <f t="shared" si="16"/>
        <v>54003.083</v>
      </c>
      <c r="H98" s="30">
        <f t="shared" si="17"/>
        <v>3211</v>
      </c>
      <c r="I98" s="59" t="s">
        <v>441</v>
      </c>
      <c r="J98" s="60" t="s">
        <v>442</v>
      </c>
      <c r="K98" s="59">
        <v>3211</v>
      </c>
      <c r="L98" s="59" t="s">
        <v>427</v>
      </c>
      <c r="M98" s="60" t="s">
        <v>135</v>
      </c>
      <c r="N98" s="60"/>
      <c r="O98" s="61" t="s">
        <v>440</v>
      </c>
      <c r="P98" s="62" t="s">
        <v>110</v>
      </c>
    </row>
    <row r="99" spans="1:16" ht="12.75" customHeight="1">
      <c r="A99" s="30" t="str">
        <f t="shared" si="12"/>
        <v>VSB 48 </v>
      </c>
      <c r="B99" s="16" t="str">
        <f t="shared" si="13"/>
        <v>I</v>
      </c>
      <c r="C99" s="30">
        <f t="shared" si="14"/>
        <v>54681.1711</v>
      </c>
      <c r="D99" t="str">
        <f t="shared" si="15"/>
        <v>vis</v>
      </c>
      <c r="E99">
        <f>VLOOKUP(C99,Active!C$21:E$972,3,FALSE)</f>
        <v>3469.0016498388704</v>
      </c>
      <c r="F99" s="16" t="s">
        <v>124</v>
      </c>
      <c r="G99" t="str">
        <f t="shared" si="16"/>
        <v>54681.1711</v>
      </c>
      <c r="H99" s="30">
        <f t="shared" si="17"/>
        <v>3469</v>
      </c>
      <c r="I99" s="59" t="s">
        <v>443</v>
      </c>
      <c r="J99" s="60" t="s">
        <v>444</v>
      </c>
      <c r="K99" s="59">
        <v>3469</v>
      </c>
      <c r="L99" s="59" t="s">
        <v>445</v>
      </c>
      <c r="M99" s="60" t="s">
        <v>269</v>
      </c>
      <c r="N99" s="60" t="s">
        <v>446</v>
      </c>
      <c r="O99" s="61" t="s">
        <v>447</v>
      </c>
      <c r="P99" s="62" t="s">
        <v>111</v>
      </c>
    </row>
    <row r="100" spans="1:16" ht="12.75" customHeight="1">
      <c r="A100" s="30" t="str">
        <f t="shared" si="12"/>
        <v>BAVM 225 </v>
      </c>
      <c r="B100" s="16" t="str">
        <f t="shared" si="13"/>
        <v>I</v>
      </c>
      <c r="C100" s="30">
        <f t="shared" si="14"/>
        <v>55832.326999999997</v>
      </c>
      <c r="D100" t="str">
        <f t="shared" si="15"/>
        <v>vis</v>
      </c>
      <c r="E100">
        <f>VLOOKUP(C100,Active!C$21:E$972,3,FALSE)</f>
        <v>3907.000914457416</v>
      </c>
      <c r="F100" s="16" t="s">
        <v>124</v>
      </c>
      <c r="G100" t="str">
        <f t="shared" si="16"/>
        <v>55832.3270</v>
      </c>
      <c r="H100" s="30">
        <f t="shared" si="17"/>
        <v>3907</v>
      </c>
      <c r="I100" s="59" t="s">
        <v>448</v>
      </c>
      <c r="J100" s="60" t="s">
        <v>449</v>
      </c>
      <c r="K100" s="59">
        <v>3907</v>
      </c>
      <c r="L100" s="59" t="s">
        <v>450</v>
      </c>
      <c r="M100" s="60" t="s">
        <v>269</v>
      </c>
      <c r="N100" s="60" t="s">
        <v>451</v>
      </c>
      <c r="O100" s="61" t="s">
        <v>452</v>
      </c>
      <c r="P100" s="62" t="s">
        <v>113</v>
      </c>
    </row>
    <row r="101" spans="1:16" ht="12.75" customHeight="1">
      <c r="A101" s="30" t="str">
        <f t="shared" si="12"/>
        <v>OEJV 0160 </v>
      </c>
      <c r="B101" s="16" t="str">
        <f t="shared" si="13"/>
        <v>I</v>
      </c>
      <c r="C101" s="30">
        <f t="shared" si="14"/>
        <v>56510.40683</v>
      </c>
      <c r="D101" t="str">
        <f t="shared" si="15"/>
        <v>vis</v>
      </c>
      <c r="E101" t="e">
        <f>VLOOKUP(C101,Active!C$21:E$972,3,FALSE)</f>
        <v>#N/A</v>
      </c>
      <c r="F101" s="16" t="s">
        <v>124</v>
      </c>
      <c r="G101" t="str">
        <f t="shared" si="16"/>
        <v>56510.40683</v>
      </c>
      <c r="H101" s="30">
        <f t="shared" si="17"/>
        <v>4165</v>
      </c>
      <c r="I101" s="59" t="s">
        <v>453</v>
      </c>
      <c r="J101" s="60" t="s">
        <v>454</v>
      </c>
      <c r="K101" s="59" t="s">
        <v>455</v>
      </c>
      <c r="L101" s="59" t="s">
        <v>456</v>
      </c>
      <c r="M101" s="60" t="s">
        <v>269</v>
      </c>
      <c r="N101" s="60" t="s">
        <v>119</v>
      </c>
      <c r="O101" s="61" t="s">
        <v>457</v>
      </c>
      <c r="P101" s="62" t="s">
        <v>458</v>
      </c>
    </row>
  </sheetData>
  <sheetProtection selectLockedCells="1" selectUnlockedCells="1"/>
  <hyperlinks>
    <hyperlink ref="P11" r:id="rId1"/>
    <hyperlink ref="P12" r:id="rId2"/>
    <hyperlink ref="P24" r:id="rId3"/>
    <hyperlink ref="P26" r:id="rId4"/>
    <hyperlink ref="P27" r:id="rId5"/>
    <hyperlink ref="P28" r:id="rId6"/>
    <hyperlink ref="P34" r:id="rId7"/>
    <hyperlink ref="P37" r:id="rId8"/>
    <hyperlink ref="P39" r:id="rId9"/>
    <hyperlink ref="P44" r:id="rId10"/>
    <hyperlink ref="P45" r:id="rId11"/>
    <hyperlink ref="P46" r:id="rId12"/>
    <hyperlink ref="P60" r:id="rId13"/>
    <hyperlink ref="P66" r:id="rId14"/>
    <hyperlink ref="P93" r:id="rId15"/>
    <hyperlink ref="P95" r:id="rId16"/>
    <hyperlink ref="P96" r:id="rId17"/>
    <hyperlink ref="P97" r:id="rId18"/>
    <hyperlink ref="P98" r:id="rId19"/>
    <hyperlink ref="P99" r:id="rId20"/>
    <hyperlink ref="P100" r:id="rId21"/>
    <hyperlink ref="P101" r:id="rId2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2024-03-02T04:27:26Z</dcterms:created>
  <dcterms:modified xsi:type="dcterms:W3CDTF">2024-03-02T04:27:26Z</dcterms:modified>
</cp:coreProperties>
</file>