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EB9202-A66B-4256-9428-A220D27988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Q25" i="1"/>
  <c r="Q24" i="1"/>
  <c r="Q23" i="1"/>
  <c r="C21" i="1"/>
  <c r="Q22" i="1"/>
  <c r="C7" i="1"/>
  <c r="C8" i="1"/>
  <c r="Q21" i="1"/>
  <c r="E22" i="1"/>
  <c r="F22" i="1"/>
  <c r="G22" i="1"/>
  <c r="E24" i="1"/>
  <c r="F24" i="1"/>
  <c r="G24" i="1"/>
  <c r="I24" i="1"/>
  <c r="G25" i="1"/>
  <c r="I25" i="1"/>
  <c r="E25" i="1"/>
  <c r="F25" i="1"/>
  <c r="G23" i="1"/>
  <c r="I23" i="1"/>
  <c r="E21" i="1"/>
  <c r="F21" i="1"/>
  <c r="E23" i="1"/>
  <c r="F23" i="1"/>
  <c r="G21" i="1"/>
  <c r="H21" i="1"/>
  <c r="I22" i="1"/>
  <c r="C11" i="1"/>
  <c r="E15" i="1" l="1"/>
  <c r="C12" i="1"/>
  <c r="C16" i="1" l="1"/>
  <c r="D18" i="1" s="1"/>
  <c r="O22" i="1"/>
  <c r="O21" i="1"/>
  <c r="C15" i="1"/>
  <c r="O23" i="1"/>
  <c r="O24" i="1"/>
  <c r="O25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<sst xmlns="http://schemas.openxmlformats.org/spreadsheetml/2006/main" count="53" uniqueCount="49">
  <si>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</si>
  <si>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</si>
  <si>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</si>
  <si>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</si>
  <si>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</si>
  <si>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</si>
  <si>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</si>
  <si>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</si>
  <si>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</si>
  <si>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</si>
  <si>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</si>
  <si>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</si>
  <si>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</si>
  <si>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</si>
  <si>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</si>
  <si>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</si>
  <si>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</si>
  <si>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</si>
  <si>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</si>
  <si>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</si>
  <si>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</si>
  <si>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</si>
  <si>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</si>
  <si>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</si>
  <si>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</si>
  <si>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</si>
  <si>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</si>
  <si>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</si>
  <si>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</si>
  <si>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EA</t>
  </si>
  <si>
    <t>IBVS 5603</t>
  </si>
  <si>
    <t>I</t>
  </si>
  <si>
    <t># of data points:</t>
  </si>
  <si>
    <t>FL Peg / gsc 1106-0163?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</si>
  <si>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</si>
  <si>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</si>
  <si>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</si>
  <si>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</si>
  <si>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</si>
  <si>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</si>
  <si>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</si>
  <si>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0107</t>
  </si>
  <si>
    <t>IBVS 5920</t>
  </si>
  <si>
    <t>II</t>
  </si>
  <si>
    <t>IBVS 6042</t>
  </si>
  <si>
    <t>Add cycle</t>
  </si>
  <si>
    <t>Old Cycle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</si>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</sst>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Peg - O-C Diagr.</a:t>
            </a:r>
          </a:p>
        </c:rich>
      </c:tx>
      <c:layout>
        <c:manualLayout>
          <c:xMode val="edge"/>
          <c:yMode val="edge"/>
          <c:x val="0.3796449272596983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0E-4650-95E9-D55C6561F5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-0.43818399999872781</c:v>
                </c:pt>
                <c:pt idx="2">
                  <c:v>-0.44907800000510179</c:v>
                </c:pt>
                <c:pt idx="3">
                  <c:v>-0.47288600000320002</c:v>
                </c:pt>
                <c:pt idx="4">
                  <c:v>-0.49298999999882653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0E-4650-95E9-D55C6561F5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0E-4650-95E9-D55C6561F5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0E-4650-95E9-D55C6561F5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0E-4650-95E9-D55C6561F5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0E-4650-95E9-D55C6561F5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0E-4650-95E9-D55C6561F5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-0.12825821398935255</c:v>
                </c:pt>
                <c:pt idx="1">
                  <c:v>-0.43684472500295879</c:v>
                </c:pt>
                <c:pt idx="2">
                  <c:v>-0.45127796639003098</c:v>
                </c:pt>
                <c:pt idx="3">
                  <c:v>-0.47209322243191476</c:v>
                </c:pt>
                <c:pt idx="4">
                  <c:v>-0.49292208618095168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0E-4650-95E9-D55C6561F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996800"/>
        <c:axId val="1"/>
      </c:scatterChart>
      <c:valAx>
        <c:axId val="530996800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996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85962033421104"/>
          <c:y val="0.91925596256989606"/>
          <c:w val="0.7463656138297738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Peg - O-C Diagr.</a:t>
            </a:r>
          </a:p>
        </c:rich>
      </c:tx>
      <c:layout>
        <c:manualLayout>
          <c:xMode val="edge"/>
          <c:yMode val="edge"/>
          <c:x val="0.3790322580645161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60681114551083"/>
          <c:w val="0.8193548387096774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2B-43B5-B454-F524C480FA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-0.43818399999872781</c:v>
                </c:pt>
                <c:pt idx="2">
                  <c:v>-0.44907800000510179</c:v>
                </c:pt>
                <c:pt idx="3">
                  <c:v>-0.47288600000320002</c:v>
                </c:pt>
                <c:pt idx="4">
                  <c:v>-0.49298999999882653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2B-43B5-B454-F524C480FA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2B-43B5-B454-F524C480FA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2B-43B5-B454-F524C480FA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2B-43B5-B454-F524C480FA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2B-43B5-B454-F524C480FA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2B-43B5-B454-F524C480FA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34016</c:v>
                </c:pt>
                <c:pt idx="2">
                  <c:v>35607</c:v>
                </c:pt>
                <c:pt idx="3">
                  <c:v>37901.5</c:v>
                </c:pt>
                <c:pt idx="4">
                  <c:v>40197.5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-0.12825821398935255</c:v>
                </c:pt>
                <c:pt idx="1">
                  <c:v>-0.43684472500295879</c:v>
                </c:pt>
                <c:pt idx="2">
                  <c:v>-0.45127796639003098</c:v>
                </c:pt>
                <c:pt idx="3">
                  <c:v>-0.47209322243191476</c:v>
                </c:pt>
                <c:pt idx="4">
                  <c:v>-0.49292208618095168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2B-43B5-B454-F524C480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607152"/>
        <c:axId val="1"/>
      </c:scatterChart>
      <c:valAx>
        <c:axId val="75260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607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35483870967741"/>
          <c:y val="0.91950464396284826"/>
          <c:w val="0.7451612903225806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17</xdr:col>
      <xdr:colOff>114300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2A06682-7079-E47E-D564-65687A8F5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285750</xdr:colOff>
      <xdr:row>0</xdr:row>
      <xdr:rowOff>0</xdr:rowOff>
    </xdr:from>
    <xdr:to>
      <xdr:col>27</xdr:col>
      <xdr:colOff>9525</xdr:colOff>
      <xdr:row>18</xdr:row>
      <xdr:rowOff>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13AD593-E6E5-2A09-CA5E-F892DA872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s="11" customFormat="1" ht="12.95" customHeight="1" x14ac:dyDescent="0.2">
      <c r="A2" s="11" t="s">
        <v>24</v>
      </c>
      <c r="B2" s="11" t="s">
        <v>29</v>
      </c>
    </row>
    <row r="3" spans="1:7" s="11" customFormat="1" ht="12.95" customHeight="1" x14ac:dyDescent="0.2"/>
    <row r="4" spans="1:7" s="11" customFormat="1" ht="12.95" customHeight="1" x14ac:dyDescent="0.2">
      <c r="A4" s="12" t="s">
        <v>0</v>
      </c>
      <c r="C4" s="13">
        <v>37137.506000000001</v>
      </c>
      <c r="D4" s="14">
        <v>0.47432400000000002</v>
      </c>
    </row>
    <row r="5" spans="1:7" s="11" customFormat="1" ht="12.95" customHeight="1" x14ac:dyDescent="0.2"/>
    <row r="6" spans="1:7" s="11" customFormat="1" ht="12.95" customHeight="1" x14ac:dyDescent="0.2">
      <c r="A6" s="12" t="s">
        <v>1</v>
      </c>
    </row>
    <row r="7" spans="1:7" s="11" customFormat="1" ht="12.95" customHeight="1" x14ac:dyDescent="0.2">
      <c r="A7" s="11" t="s">
        <v>2</v>
      </c>
      <c r="C7" s="11">
        <f>+C4</f>
        <v>37137.506000000001</v>
      </c>
    </row>
    <row r="8" spans="1:7" s="11" customFormat="1" ht="12.95" customHeight="1" x14ac:dyDescent="0.2">
      <c r="A8" s="11" t="s">
        <v>3</v>
      </c>
      <c r="C8" s="11">
        <f>+D4</f>
        <v>0.47432400000000002</v>
      </c>
    </row>
    <row r="9" spans="1:7" s="11" customFormat="1" ht="12.95" customHeight="1" x14ac:dyDescent="0.2">
      <c r="A9" s="15" t="s">
        <v>34</v>
      </c>
      <c r="C9" s="16">
        <v>-9.5</v>
      </c>
      <c r="D9" s="11" t="s">
        <v>35</v>
      </c>
    </row>
    <row r="10" spans="1:7" s="11" customFormat="1" ht="12.95" customHeight="1" thickBot="1" x14ac:dyDescent="0.25">
      <c r="C10" s="17" t="s">
        <v>20</v>
      </c>
      <c r="D10" s="17" t="s">
        <v>21</v>
      </c>
    </row>
    <row r="11" spans="1:7" s="11" customFormat="1" ht="12.95" customHeight="1" x14ac:dyDescent="0.2">
      <c r="A11" s="11" t="s">
        <v>16</v>
      </c>
      <c r="C11" s="18">
        <f ca="1">INTERCEPT(INDIRECT($G$11):G992,INDIRECT($F$11):F992)</f>
        <v>-0.12825821398935255</v>
      </c>
      <c r="D11" s="19"/>
      <c r="F11" s="20" t="str">
        <f>"F"&amp;E19</f>
        <v>F22</v>
      </c>
      <c r="G11" s="18" t="str">
        <f>"G"&amp;E19</f>
        <v>G22</v>
      </c>
    </row>
    <row r="12" spans="1:7" s="11" customFormat="1" ht="12.95" customHeight="1" x14ac:dyDescent="0.2">
      <c r="A12" s="11" t="s">
        <v>17</v>
      </c>
      <c r="C12" s="18">
        <f ca="1">SLOPE(INDIRECT($G$11):G992,INDIRECT($F$11):F992)</f>
        <v>-9.0718047687443036E-6</v>
      </c>
      <c r="D12" s="19"/>
    </row>
    <row r="13" spans="1:7" s="11" customFormat="1" ht="12.95" customHeight="1" x14ac:dyDescent="0.2">
      <c r="A13" s="11" t="s">
        <v>19</v>
      </c>
      <c r="C13" s="19" t="s">
        <v>14</v>
      </c>
      <c r="D13" s="21" t="s">
        <v>45</v>
      </c>
      <c r="E13" s="16">
        <v>1</v>
      </c>
    </row>
    <row r="14" spans="1:7" s="11" customFormat="1" ht="12.95" customHeight="1" x14ac:dyDescent="0.2">
      <c r="D14" s="21" t="s">
        <v>36</v>
      </c>
      <c r="E14" s="22">
        <f ca="1">NOW()+15018.5+$C$9/24</f>
        <v>60371.731874074074</v>
      </c>
    </row>
    <row r="15" spans="1:7" s="11" customFormat="1" ht="12.95" customHeight="1" x14ac:dyDescent="0.2">
      <c r="A15" s="23" t="s">
        <v>18</v>
      </c>
      <c r="C15" s="24">
        <f ca="1">(C7+C11)+(C8+C12)*INT(MAX(F21:F3533))</f>
        <v>56203.414910449719</v>
      </c>
      <c r="D15" s="21" t="s">
        <v>46</v>
      </c>
      <c r="E15" s="22">
        <f ca="1">ROUND(2*(E14-$C$7)/$C$8,0)/2+E13</f>
        <v>48985</v>
      </c>
    </row>
    <row r="16" spans="1:7" s="11" customFormat="1" ht="12.95" customHeight="1" x14ac:dyDescent="0.2">
      <c r="A16" s="12" t="s">
        <v>4</v>
      </c>
      <c r="C16" s="25">
        <f ca="1">+C8+C12</f>
        <v>0.4743149281952313</v>
      </c>
      <c r="D16" s="21" t="s">
        <v>37</v>
      </c>
      <c r="E16" s="18">
        <f ca="1">ROUND(2*(E14-$C$15)/$C$16,0)/2+E13</f>
        <v>8789</v>
      </c>
    </row>
    <row r="17" spans="1:17" s="11" customFormat="1" ht="12.95" customHeight="1" thickBot="1" x14ac:dyDescent="0.25">
      <c r="A17" s="21" t="s">
        <v>32</v>
      </c>
      <c r="C17" s="11">
        <f>COUNT(C21:C2191)</f>
        <v>5</v>
      </c>
      <c r="D17" s="21" t="s">
        <v>38</v>
      </c>
      <c r="E17" s="26">
        <f ca="1">+$C$15+$C$16*E16-15018.5-$C$9/24</f>
        <v>45354.064647690946</v>
      </c>
    </row>
    <row r="18" spans="1:17" s="11" customFormat="1" ht="12.95" customHeight="1" x14ac:dyDescent="0.2">
      <c r="A18" s="12" t="s">
        <v>5</v>
      </c>
      <c r="C18" s="13">
        <f ca="1">+C15</f>
        <v>56203.414910449719</v>
      </c>
      <c r="D18" s="14">
        <f ca="1">+C16</f>
        <v>0.4743149281952313</v>
      </c>
      <c r="E18" s="27" t="s">
        <v>39</v>
      </c>
    </row>
    <row r="19" spans="1:17" s="11" customFormat="1" ht="12.95" customHeight="1" thickTop="1" x14ac:dyDescent="0.2">
      <c r="A19" s="28" t="s">
        <v>40</v>
      </c>
      <c r="E19" s="29">
        <v>22</v>
      </c>
    </row>
    <row r="20" spans="1:17" s="11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13</v>
      </c>
      <c r="E20" s="17" t="s">
        <v>9</v>
      </c>
      <c r="F20" s="17" t="s">
        <v>10</v>
      </c>
      <c r="G20" s="17" t="s">
        <v>11</v>
      </c>
      <c r="H20" s="30" t="s">
        <v>12</v>
      </c>
      <c r="I20" s="30" t="s">
        <v>47</v>
      </c>
      <c r="J20" s="30" t="s">
        <v>48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7" t="s">
        <v>15</v>
      </c>
    </row>
    <row r="21" spans="1:17" s="11" customFormat="1" ht="12.95" customHeight="1" x14ac:dyDescent="0.2">
      <c r="A21" s="11" t="s">
        <v>12</v>
      </c>
      <c r="C21" s="32">
        <f>+C4</f>
        <v>37137.506000000001</v>
      </c>
      <c r="D21" s="32" t="s">
        <v>14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H21" s="11">
        <f>+G21</f>
        <v>0</v>
      </c>
      <c r="O21" s="11">
        <f ca="1">+C$11+C$12*$F21</f>
        <v>-0.12825821398935255</v>
      </c>
      <c r="Q21" s="33">
        <f>+C21-15018.5</f>
        <v>22119.006000000001</v>
      </c>
    </row>
    <row r="22" spans="1:17" s="11" customFormat="1" ht="12.95" customHeight="1" x14ac:dyDescent="0.2">
      <c r="A22" s="3" t="s">
        <v>30</v>
      </c>
      <c r="B22" s="4" t="s">
        <v>31</v>
      </c>
      <c r="C22" s="3">
        <v>53271.673000000003</v>
      </c>
      <c r="D22" s="3">
        <v>2E-3</v>
      </c>
      <c r="E22" s="11">
        <f>+(C22-C$7)/C$8</f>
        <v>34015.076192644694</v>
      </c>
      <c r="F22" s="11">
        <f>ROUND(2*E22,0)/2+1</f>
        <v>34016</v>
      </c>
      <c r="G22" s="11">
        <f>+C22-(C$7+F22*C$8)</f>
        <v>-0.43818399999872781</v>
      </c>
      <c r="I22" s="11">
        <f>+G22</f>
        <v>-0.43818399999872781</v>
      </c>
      <c r="O22" s="11">
        <f ca="1">+C$11+C$12*$F22</f>
        <v>-0.43684472500295879</v>
      </c>
      <c r="Q22" s="33">
        <f>+C22-15018.5</f>
        <v>38253.173000000003</v>
      </c>
    </row>
    <row r="23" spans="1:17" s="11" customFormat="1" ht="12.95" customHeight="1" x14ac:dyDescent="0.2">
      <c r="A23" s="34" t="s">
        <v>41</v>
      </c>
      <c r="B23" s="35" t="s">
        <v>31</v>
      </c>
      <c r="C23" s="36">
        <v>54026.311589999998</v>
      </c>
      <c r="D23" s="36">
        <v>5.0000000000000001E-4</v>
      </c>
      <c r="E23" s="11">
        <f>+(C23-C$7)/C$8</f>
        <v>35606.053225221571</v>
      </c>
      <c r="F23" s="11">
        <f>ROUND(2*E23,0)/2+1</f>
        <v>35607</v>
      </c>
      <c r="G23" s="11">
        <f>+C23-(C$7+F23*C$8)</f>
        <v>-0.44907800000510179</v>
      </c>
      <c r="I23" s="11">
        <f>+G23</f>
        <v>-0.44907800000510179</v>
      </c>
      <c r="O23" s="11">
        <f ca="1">+C$11+C$12*$F23</f>
        <v>-0.45127796639003098</v>
      </c>
      <c r="Q23" s="33">
        <f>+C23-15018.5</f>
        <v>39007.811589999998</v>
      </c>
    </row>
    <row r="24" spans="1:17" s="11" customFormat="1" ht="12.95" customHeight="1" x14ac:dyDescent="0.2">
      <c r="A24" s="6" t="s">
        <v>42</v>
      </c>
      <c r="B24" s="7" t="s">
        <v>43</v>
      </c>
      <c r="C24" s="6">
        <v>55114.624199999998</v>
      </c>
      <c r="D24" s="6">
        <v>5.0000000000000001E-4</v>
      </c>
      <c r="E24" s="11">
        <f>+(C24-C$7)/C$8</f>
        <v>37900.50303168298</v>
      </c>
      <c r="F24" s="11">
        <f>ROUND(2*E24,0)/2+1</f>
        <v>37901.5</v>
      </c>
      <c r="G24" s="11">
        <f>+C24-(C$7+F24*C$8)</f>
        <v>-0.47288600000320002</v>
      </c>
      <c r="I24" s="11">
        <f>+G24</f>
        <v>-0.47288600000320002</v>
      </c>
      <c r="O24" s="11">
        <f ca="1">+C$11+C$12*$F24</f>
        <v>-0.47209322243191476</v>
      </c>
      <c r="Q24" s="33">
        <f>+C24-15018.5</f>
        <v>40096.124199999998</v>
      </c>
    </row>
    <row r="25" spans="1:17" x14ac:dyDescent="0.2">
      <c r="A25" s="8" t="s">
        <v>44</v>
      </c>
      <c r="B25" s="9" t="s">
        <v>43</v>
      </c>
      <c r="C25" s="10">
        <v>56203.652000000002</v>
      </c>
      <c r="D25" s="10">
        <v>6.0000000000000006E-4</v>
      </c>
      <c r="E25">
        <f>+(C25-C$7)/C$8</f>
        <v>40196.460647152577</v>
      </c>
      <c r="F25">
        <f>ROUND(2*E25,0)/2+1</f>
        <v>40197.5</v>
      </c>
      <c r="G25">
        <f>+C25-(C$7+F25*C$8)</f>
        <v>-0.49298999999882653</v>
      </c>
      <c r="I25">
        <f>+G25</f>
        <v>-0.49298999999882653</v>
      </c>
      <c r="O25">
        <f ca="1">+C$11+C$12*$F25</f>
        <v>-0.49292208618095168</v>
      </c>
      <c r="Q25" s="2">
        <f>+C25-15018.5</f>
        <v>41185.152000000002</v>
      </c>
    </row>
    <row r="26" spans="1:17" x14ac:dyDescent="0.2">
      <c r="C26" s="5"/>
      <c r="D26" s="5"/>
      <c r="Q26" s="2"/>
    </row>
    <row r="27" spans="1:17" x14ac:dyDescent="0.2">
      <c r="C27" s="5"/>
      <c r="D27" s="5"/>
      <c r="Q27" s="2"/>
    </row>
    <row r="28" spans="1:17" x14ac:dyDescent="0.2">
      <c r="C28" s="5"/>
      <c r="D28" s="5"/>
      <c r="Q28" s="2"/>
    </row>
    <row r="29" spans="1:17" x14ac:dyDescent="0.2">
      <c r="C29" s="5"/>
      <c r="D29" s="5"/>
      <c r="Q29" s="2"/>
    </row>
    <row r="30" spans="1:17" x14ac:dyDescent="0.2">
      <c r="C30" s="5"/>
      <c r="D30" s="5"/>
      <c r="Q30" s="2"/>
    </row>
    <row r="31" spans="1:17" x14ac:dyDescent="0.2">
      <c r="C31" s="5"/>
      <c r="D31" s="5"/>
      <c r="Q31" s="2"/>
    </row>
    <row r="32" spans="1:17" x14ac:dyDescent="0.2">
      <c r="C32" s="5"/>
      <c r="D32" s="5"/>
      <c r="Q32" s="2"/>
    </row>
    <row r="33" spans="3:17" x14ac:dyDescent="0.2">
      <c r="C33" s="5"/>
      <c r="D33" s="5"/>
      <c r="Q33" s="2"/>
    </row>
    <row r="34" spans="3:17" x14ac:dyDescent="0.2">
      <c r="C34" s="5"/>
      <c r="D34" s="5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2024-03-02T04:33:53Z</dcterms:modified>
</cp:coreProperties>
</file>