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52FC468-CB58-45F8-8E73-11D8B618575F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Q28" i="1"/>
  <c r="C28" i="1"/>
  <c r="C17" i="1" s="1"/>
  <c r="A28" i="1"/>
  <c r="C13" i="1"/>
  <c r="E21" i="1"/>
  <c r="F21" i="1"/>
  <c r="G21" i="1" s="1"/>
  <c r="E22" i="1"/>
  <c r="F22" i="1" s="1"/>
  <c r="G22" i="1" s="1"/>
  <c r="S22" i="1" s="1"/>
  <c r="E24" i="1"/>
  <c r="F24" i="1" s="1"/>
  <c r="G24" i="1" s="1"/>
  <c r="E27" i="1"/>
  <c r="F27" i="1" s="1"/>
  <c r="G27" i="1" s="1"/>
  <c r="E23" i="1"/>
  <c r="F23" i="1"/>
  <c r="G23" i="1" s="1"/>
  <c r="E25" i="1"/>
  <c r="F25" i="1" s="1"/>
  <c r="G25" i="1" s="1"/>
  <c r="E26" i="1"/>
  <c r="F26" i="1"/>
  <c r="G26" i="1"/>
  <c r="H26" i="1" s="1"/>
  <c r="Q22" i="1"/>
  <c r="Q23" i="1"/>
  <c r="Q24" i="1"/>
  <c r="Q25" i="1"/>
  <c r="Q26" i="1"/>
  <c r="Q27" i="1"/>
  <c r="C14" i="1"/>
  <c r="F12" i="1"/>
  <c r="F13" i="1" s="1"/>
  <c r="D14" i="1"/>
  <c r="D13" i="1"/>
  <c r="C19" i="1"/>
  <c r="Q21" i="1"/>
  <c r="R28" i="1" l="1"/>
  <c r="I28" i="1"/>
  <c r="R26" i="1"/>
  <c r="S27" i="1"/>
  <c r="H27" i="1"/>
  <c r="S24" i="1"/>
  <c r="H24" i="1"/>
  <c r="H25" i="1"/>
  <c r="R25" i="1"/>
  <c r="S19" i="1" s="1"/>
  <c r="E19" i="1" s="1"/>
  <c r="S21" i="1"/>
  <c r="H21" i="1"/>
  <c r="H22" i="1"/>
  <c r="C12" i="1"/>
  <c r="C11" i="1"/>
  <c r="O28" i="1" l="1"/>
  <c r="C15" i="1"/>
  <c r="C18" i="1" s="1"/>
  <c r="O22" i="1"/>
  <c r="O24" i="1"/>
  <c r="O26" i="1"/>
  <c r="O23" i="1"/>
  <c r="O25" i="1"/>
  <c r="O21" i="1"/>
  <c r="O27" i="1"/>
  <c r="D12" i="1"/>
  <c r="C16" i="1"/>
  <c r="D18" i="1" s="1"/>
  <c r="R19" i="1"/>
  <c r="E18" i="1" s="1"/>
  <c r="P24" i="1" l="1"/>
  <c r="P28" i="1"/>
  <c r="D16" i="1"/>
  <c r="D19" i="1" s="1"/>
  <c r="P22" i="1"/>
  <c r="P21" i="1"/>
  <c r="P27" i="1"/>
  <c r="P25" i="1"/>
  <c r="F14" i="1"/>
  <c r="F15" i="1" s="1"/>
  <c r="P23" i="1"/>
  <c r="P26" i="1"/>
</calcChain>
</file>

<file path=xl/sharedStrings.xml><?xml version="1.0" encoding="utf-8"?>
<sst xmlns="http://schemas.openxmlformats.org/spreadsheetml/2006/main" count="68" uniqueCount="52">
  <si>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</si>
  <si>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</si>
  <si>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</si>
  <si>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</si>
  <si>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</si>
  <si>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</si>
  <si>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</si>
  <si>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</si>
  <si>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</si>
  <si>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</si>
  <si>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</si>
  <si>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</si>
  <si>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</si>
  <si>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</si>
  <si>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</si>
  <si>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</si>
  <si>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</si>
  <si>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</si>
  <si>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</si>
  <si>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</si>
  <si>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</si>
  <si>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</si>
  <si>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</si>
  <si>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</si>
  <si>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S5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</si>
  <si>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</si>
  <si>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</si>
  <si>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</si>
  <si>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</si>
  <si>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</si>
  <si>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</si>
  <si>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Local time</t>
  </si>
  <si>
    <t>Add cycle</t>
  </si>
  <si>
    <t>JD today</t>
  </si>
  <si>
    <t>Old Cycle</t>
  </si>
  <si>
    <t>New Cycle</t>
  </si>
  <si>
    <t>Next ToM</t>
  </si>
  <si>
    <t>GSC 2750-0054</t>
  </si>
  <si>
    <t>NEW VARIABLE</t>
  </si>
  <si>
    <t>EA?</t>
  </si>
  <si>
    <t>Peg</t>
  </si>
  <si>
    <t>aka RHN-071</t>
  </si>
  <si>
    <t>not avail.</t>
  </si>
  <si>
    <t>RHN 2013</t>
  </si>
  <si>
    <t>Buchheim pc</t>
  </si>
  <si>
    <t>Sec. Estimate</t>
  </si>
  <si>
    <t>Nelson pers com</t>
  </si>
  <si>
    <t>VSX</t>
  </si>
  <si>
    <t>CCD</t>
  </si>
  <si>
    <t>S3</t>
  </si>
  <si>
    <t>S4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</si>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</sst>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horizontal="left"/>
    </xf>
    <xf numFmtId="0" fontId="5" fillId="0" borderId="0" xfId="0" applyFo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9" fillId="0" borderId="0" xfId="0" applyNumberFormat="1" applyFont="1" applyAlignment="1">
      <alignment horizontal="left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6" fillId="0" borderId="0" xfId="0" applyFont="1">
      <alignment vertical="top"/>
    </xf>
    <xf numFmtId="0" fontId="12" fillId="0" borderId="0" xfId="0" applyFont="1" applyAlignment="1">
      <alignment horizontal="center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2" fillId="0" borderId="0" xfId="0" applyFont="1">
      <alignment vertical="top"/>
    </xf>
    <xf numFmtId="0" fontId="11" fillId="0" borderId="0" xfId="0" applyFont="1" applyAlignment="1"/>
    <xf numFmtId="22" fontId="11" fillId="0" borderId="0" xfId="0" applyNumberFormat="1" applyFont="1">
      <alignment vertical="top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5" fillId="0" borderId="0" xfId="0" applyFont="1" applyAlignment="1"/>
    <xf numFmtId="172" fontId="0" fillId="0" borderId="0" xfId="0" applyNumberFormat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6" fillId="0" borderId="0" xfId="0" applyFont="1">
      <alignment vertical="top"/>
    </xf>
    <xf numFmtId="0" fontId="18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2750-0054 - O-C Diagr.</a:t>
            </a:r>
          </a:p>
        </c:rich>
      </c:tx>
      <c:layout>
        <c:manualLayout>
          <c:xMode val="edge"/>
          <c:yMode val="edge"/>
          <c:x val="0.3301132286000481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27887752348712"/>
          <c:y val="0.11601735243035273"/>
          <c:w val="0.83807528147766575"/>
          <c:h val="0.665420843166117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1'!$D$21:$D$47</c:f>
                <c:numCache>
                  <c:formatCode>General</c:formatCode>
                  <c:ptCount val="27"/>
                  <c:pt idx="0">
                    <c:v>1E-3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'Active 1'!$D$21:$D$47</c:f>
                <c:numCache>
                  <c:formatCode>General</c:formatCode>
                  <c:ptCount val="27"/>
                  <c:pt idx="0">
                    <c:v>1E-3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-262.5</c:v>
                </c:pt>
                <c:pt idx="1">
                  <c:v>-260.5</c:v>
                </c:pt>
                <c:pt idx="2">
                  <c:v>-224.5</c:v>
                </c:pt>
                <c:pt idx="3">
                  <c:v>-224.5</c:v>
                </c:pt>
                <c:pt idx="4">
                  <c:v>-214</c:v>
                </c:pt>
                <c:pt idx="5">
                  <c:v>-212</c:v>
                </c:pt>
                <c:pt idx="6">
                  <c:v>-207.5</c:v>
                </c:pt>
                <c:pt idx="7">
                  <c:v>0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0">
                  <c:v>4.2212500004097819E-2</c:v>
                </c:pt>
                <c:pt idx="1">
                  <c:v>4.1517302917782217E-2</c:v>
                </c:pt>
                <c:pt idx="3">
                  <c:v>4.2686499997216742E-2</c:v>
                </c:pt>
                <c:pt idx="4">
                  <c:v>4.155087595427176E-2</c:v>
                </c:pt>
                <c:pt idx="5">
                  <c:v>4.1423999995458871E-2</c:v>
                </c:pt>
                <c:pt idx="6">
                  <c:v>4.3600495257123839E-2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87-40F2-93EB-085DD6ED23AF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</c:f>
                <c:numCache>
                  <c:formatCode>General</c:formatCode>
                  <c:ptCount val="1"/>
                  <c:pt idx="0">
                    <c:v>1E-3</c:v>
                  </c:pt>
                </c:numCache>
              </c:numRef>
            </c:plus>
            <c:minus>
              <c:numRef>
                <c:f>'Active 1'!$D$21</c:f>
                <c:numCache>
                  <c:formatCode>General</c:formatCode>
                  <c:ptCount val="1"/>
                  <c:pt idx="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-262.5</c:v>
                </c:pt>
                <c:pt idx="1">
                  <c:v>-260.5</c:v>
                </c:pt>
                <c:pt idx="2">
                  <c:v>-224.5</c:v>
                </c:pt>
                <c:pt idx="3">
                  <c:v>-224.5</c:v>
                </c:pt>
                <c:pt idx="4">
                  <c:v>-214</c:v>
                </c:pt>
                <c:pt idx="5">
                  <c:v>-212</c:v>
                </c:pt>
                <c:pt idx="6">
                  <c:v>-207.5</c:v>
                </c:pt>
                <c:pt idx="7">
                  <c:v>0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87-40F2-93EB-085DD6ED23AF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</c:f>
                <c:numCache>
                  <c:formatCode>General</c:formatCode>
                  <c:ptCount val="1"/>
                  <c:pt idx="0">
                    <c:v>1E-3</c:v>
                  </c:pt>
                </c:numCache>
              </c:numRef>
            </c:plus>
            <c:minus>
              <c:numRef>
                <c:f>'Active 1'!$D$21</c:f>
                <c:numCache>
                  <c:formatCode>General</c:formatCode>
                  <c:ptCount val="1"/>
                  <c:pt idx="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-262.5</c:v>
                </c:pt>
                <c:pt idx="1">
                  <c:v>-260.5</c:v>
                </c:pt>
                <c:pt idx="2">
                  <c:v>-224.5</c:v>
                </c:pt>
                <c:pt idx="3">
                  <c:v>-224.5</c:v>
                </c:pt>
                <c:pt idx="4">
                  <c:v>-214</c:v>
                </c:pt>
                <c:pt idx="5">
                  <c:v>-212</c:v>
                </c:pt>
                <c:pt idx="6">
                  <c:v>-207.5</c:v>
                </c:pt>
                <c:pt idx="7">
                  <c:v>0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87-40F2-93EB-085DD6ED23AF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-262.5</c:v>
                </c:pt>
                <c:pt idx="1">
                  <c:v>-260.5</c:v>
                </c:pt>
                <c:pt idx="2">
                  <c:v>-224.5</c:v>
                </c:pt>
                <c:pt idx="3">
                  <c:v>-224.5</c:v>
                </c:pt>
                <c:pt idx="4">
                  <c:v>-214</c:v>
                </c:pt>
                <c:pt idx="5">
                  <c:v>-212</c:v>
                </c:pt>
                <c:pt idx="6">
                  <c:v>-207.5</c:v>
                </c:pt>
                <c:pt idx="7">
                  <c:v>0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87-40F2-93EB-085DD6ED23AF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-262.5</c:v>
                </c:pt>
                <c:pt idx="1">
                  <c:v>-260.5</c:v>
                </c:pt>
                <c:pt idx="2">
                  <c:v>-224.5</c:v>
                </c:pt>
                <c:pt idx="3">
                  <c:v>-224.5</c:v>
                </c:pt>
                <c:pt idx="4">
                  <c:v>-214</c:v>
                </c:pt>
                <c:pt idx="5">
                  <c:v>-212</c:v>
                </c:pt>
                <c:pt idx="6">
                  <c:v>-207.5</c:v>
                </c:pt>
                <c:pt idx="7">
                  <c:v>0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087-40F2-93EB-085DD6ED23A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-262.5</c:v>
                </c:pt>
                <c:pt idx="1">
                  <c:v>-260.5</c:v>
                </c:pt>
                <c:pt idx="2">
                  <c:v>-224.5</c:v>
                </c:pt>
                <c:pt idx="3">
                  <c:v>-224.5</c:v>
                </c:pt>
                <c:pt idx="4">
                  <c:v>-214</c:v>
                </c:pt>
                <c:pt idx="5">
                  <c:v>-212</c:v>
                </c:pt>
                <c:pt idx="6">
                  <c:v>-207.5</c:v>
                </c:pt>
                <c:pt idx="7">
                  <c:v>0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87-40F2-93EB-085DD6ED23A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-262.5</c:v>
                </c:pt>
                <c:pt idx="1">
                  <c:v>-260.5</c:v>
                </c:pt>
                <c:pt idx="2">
                  <c:v>-224.5</c:v>
                </c:pt>
                <c:pt idx="3">
                  <c:v>-224.5</c:v>
                </c:pt>
                <c:pt idx="4">
                  <c:v>-214</c:v>
                </c:pt>
                <c:pt idx="5">
                  <c:v>-212</c:v>
                </c:pt>
                <c:pt idx="6">
                  <c:v>-207.5</c:v>
                </c:pt>
                <c:pt idx="7">
                  <c:v>0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087-40F2-93EB-085DD6ED23AF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-262.5</c:v>
                </c:pt>
                <c:pt idx="1">
                  <c:v>-260.5</c:v>
                </c:pt>
                <c:pt idx="2">
                  <c:v>-224.5</c:v>
                </c:pt>
                <c:pt idx="3">
                  <c:v>-224.5</c:v>
                </c:pt>
                <c:pt idx="4">
                  <c:v>-214</c:v>
                </c:pt>
                <c:pt idx="5">
                  <c:v>-212</c:v>
                </c:pt>
                <c:pt idx="6">
                  <c:v>-207.5</c:v>
                </c:pt>
                <c:pt idx="7">
                  <c:v>0</c:v>
                </c:pt>
              </c:numCache>
            </c:numRef>
          </c:xVal>
          <c:yVal>
            <c:numRef>
              <c:f>'Active 1'!$O$21:$O$27</c:f>
              <c:numCache>
                <c:formatCode>General</c:formatCode>
                <c:ptCount val="7"/>
                <c:pt idx="0">
                  <c:v>5.1127838390971569E-2</c:v>
                </c:pt>
                <c:pt idx="1">
                  <c:v>5.0738302351009283E-2</c:v>
                </c:pt>
                <c:pt idx="2">
                  <c:v>4.3726653631688046E-2</c:v>
                </c:pt>
                <c:pt idx="3">
                  <c:v>4.3726653631688046E-2</c:v>
                </c:pt>
                <c:pt idx="4">
                  <c:v>4.1681589421886017E-2</c:v>
                </c:pt>
                <c:pt idx="5">
                  <c:v>4.1292053381923724E-2</c:v>
                </c:pt>
                <c:pt idx="6">
                  <c:v>4.0415597292008575E-2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087-40F2-93EB-085DD6ED23AF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Sec. Estimate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-262.5</c:v>
                </c:pt>
                <c:pt idx="1">
                  <c:v>-260.5</c:v>
                </c:pt>
                <c:pt idx="2">
                  <c:v>-224.5</c:v>
                </c:pt>
                <c:pt idx="3">
                  <c:v>-224.5</c:v>
                </c:pt>
                <c:pt idx="4">
                  <c:v>-214</c:v>
                </c:pt>
                <c:pt idx="5">
                  <c:v>-212</c:v>
                </c:pt>
                <c:pt idx="6">
                  <c:v>-207.5</c:v>
                </c:pt>
                <c:pt idx="7">
                  <c:v>0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4.9326605245050677E-2</c:v>
                </c:pt>
                <c:pt idx="1">
                  <c:v>4.893706920508839E-2</c:v>
                </c:pt>
                <c:pt idx="2">
                  <c:v>4.1925420485767154E-2</c:v>
                </c:pt>
                <c:pt idx="3">
                  <c:v>4.1925420485767154E-2</c:v>
                </c:pt>
                <c:pt idx="4">
                  <c:v>3.9880356275965125E-2</c:v>
                </c:pt>
                <c:pt idx="5">
                  <c:v>3.9490820236002831E-2</c:v>
                </c:pt>
                <c:pt idx="6">
                  <c:v>3.8614364146087682E-2</c:v>
                </c:pt>
                <c:pt idx="7">
                  <c:v>-1.8E-3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087-40F2-93EB-085DD6ED23AF}"/>
            </c:ext>
          </c:extLst>
        </c:ser>
        <c:ser>
          <c:idx val="9"/>
          <c:order val="9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pPr>
              <a:ln>
                <a:solidFill>
                  <a:srgbClr val="002060"/>
                </a:solidFill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-262.5</c:v>
                </c:pt>
                <c:pt idx="1">
                  <c:v>-260.5</c:v>
                </c:pt>
                <c:pt idx="2">
                  <c:v>-224.5</c:v>
                </c:pt>
                <c:pt idx="3">
                  <c:v>-224.5</c:v>
                </c:pt>
                <c:pt idx="4">
                  <c:v>-214</c:v>
                </c:pt>
                <c:pt idx="5">
                  <c:v>-212</c:v>
                </c:pt>
                <c:pt idx="6">
                  <c:v>-207.5</c:v>
                </c:pt>
                <c:pt idx="7">
                  <c:v>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  <c:pt idx="2">
                  <c:v>-6.1113499999919441E-2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6087-40F2-93EB-085DD6ED2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4793776"/>
        <c:axId val="1"/>
      </c:scatterChart>
      <c:valAx>
        <c:axId val="704793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462242340480393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6.0000000000000012E-2"/>
          <c:min val="-7.0000000000000007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919484702093397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4793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383570044398656"/>
          <c:y val="0.90087899249982473"/>
          <c:w val="0.77307552677410651"/>
          <c:h val="5.59159481919359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2750-0054 - O-C Diagram [HJD Min I =  56532.867 + 0.417906 E]</a:t>
            </a:r>
          </a:p>
        </c:rich>
      </c:tx>
      <c:layout>
        <c:manualLayout>
          <c:xMode val="edge"/>
          <c:yMode val="edge"/>
          <c:x val="0.11363652270738885"/>
          <c:y val="1.50150150150150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84868437601263"/>
          <c:y val="0.12312348419753014"/>
          <c:w val="0.84091033515378666"/>
          <c:h val="0.654656574513696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1'!$D$21:$D$47</c:f>
                <c:numCache>
                  <c:formatCode>General</c:formatCode>
                  <c:ptCount val="27"/>
                  <c:pt idx="0">
                    <c:v>1E-3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'Active 1'!$D$21:$D$47</c:f>
                <c:numCache>
                  <c:formatCode>General</c:formatCode>
                  <c:ptCount val="27"/>
                  <c:pt idx="0">
                    <c:v>1E-3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-262.5</c:v>
                </c:pt>
                <c:pt idx="1">
                  <c:v>-260.5</c:v>
                </c:pt>
                <c:pt idx="2">
                  <c:v>-224.5</c:v>
                </c:pt>
                <c:pt idx="3">
                  <c:v>-224.5</c:v>
                </c:pt>
                <c:pt idx="4">
                  <c:v>-214</c:v>
                </c:pt>
                <c:pt idx="5">
                  <c:v>-212</c:v>
                </c:pt>
                <c:pt idx="6">
                  <c:v>-207.5</c:v>
                </c:pt>
                <c:pt idx="7">
                  <c:v>0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0">
                  <c:v>4.2212500004097819E-2</c:v>
                </c:pt>
                <c:pt idx="1">
                  <c:v>4.1517302917782217E-2</c:v>
                </c:pt>
                <c:pt idx="3">
                  <c:v>4.2686499997216742E-2</c:v>
                </c:pt>
                <c:pt idx="4">
                  <c:v>4.155087595427176E-2</c:v>
                </c:pt>
                <c:pt idx="5">
                  <c:v>4.1423999995458871E-2</c:v>
                </c:pt>
                <c:pt idx="6">
                  <c:v>4.3600495257123839E-2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65-4E97-941D-54C7AC30A26A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969696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</c:f>
                <c:numCache>
                  <c:formatCode>General</c:formatCode>
                  <c:ptCount val="1"/>
                  <c:pt idx="0">
                    <c:v>1E-3</c:v>
                  </c:pt>
                </c:numCache>
              </c:numRef>
            </c:plus>
            <c:minus>
              <c:numRef>
                <c:f>'Active 1'!$D$21</c:f>
                <c:numCache>
                  <c:formatCode>General</c:formatCode>
                  <c:ptCount val="1"/>
                  <c:pt idx="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-262.5</c:v>
                </c:pt>
                <c:pt idx="1">
                  <c:v>-260.5</c:v>
                </c:pt>
                <c:pt idx="2">
                  <c:v>-224.5</c:v>
                </c:pt>
                <c:pt idx="3">
                  <c:v>-224.5</c:v>
                </c:pt>
                <c:pt idx="4">
                  <c:v>-214</c:v>
                </c:pt>
                <c:pt idx="5">
                  <c:v>-212</c:v>
                </c:pt>
                <c:pt idx="6">
                  <c:v>-207.5</c:v>
                </c:pt>
                <c:pt idx="7">
                  <c:v>0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65-4E97-941D-54C7AC30A26A}"/>
            </c:ext>
          </c:extLst>
        </c:ser>
        <c:ser>
          <c:idx val="7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1'!$D$21:$D$40</c:f>
                <c:numCache>
                  <c:formatCode>General</c:formatCode>
                  <c:ptCount val="20"/>
                  <c:pt idx="0">
                    <c:v>1E-3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'Active 1'!$D$21:$D$40</c:f>
                <c:numCache>
                  <c:formatCode>General</c:formatCode>
                  <c:ptCount val="20"/>
                  <c:pt idx="0">
                    <c:v>1E-3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-262.5</c:v>
                </c:pt>
                <c:pt idx="1">
                  <c:v>-260.5</c:v>
                </c:pt>
                <c:pt idx="2">
                  <c:v>-224.5</c:v>
                </c:pt>
                <c:pt idx="3">
                  <c:v>-224.5</c:v>
                </c:pt>
                <c:pt idx="4">
                  <c:v>-214</c:v>
                </c:pt>
                <c:pt idx="5">
                  <c:v>-212</c:v>
                </c:pt>
                <c:pt idx="6">
                  <c:v>-207.5</c:v>
                </c:pt>
                <c:pt idx="7">
                  <c:v>0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65-4E97-941D-54C7AC30A26A}"/>
            </c:ext>
          </c:extLst>
        </c:ser>
        <c:ser>
          <c:idx val="2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0C0C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1'!$D$21:$D$44</c:f>
                <c:numCache>
                  <c:formatCode>General</c:formatCode>
                  <c:ptCount val="24"/>
                  <c:pt idx="0">
                    <c:v>1E-3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'Active 1'!$D$21:$D$44</c:f>
                <c:numCache>
                  <c:formatCode>General</c:formatCode>
                  <c:ptCount val="24"/>
                  <c:pt idx="0">
                    <c:v>1E-3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2.9999999999999997E-4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-262.5</c:v>
                </c:pt>
                <c:pt idx="1">
                  <c:v>-260.5</c:v>
                </c:pt>
                <c:pt idx="2">
                  <c:v>-224.5</c:v>
                </c:pt>
                <c:pt idx="3">
                  <c:v>-224.5</c:v>
                </c:pt>
                <c:pt idx="4">
                  <c:v>-214</c:v>
                </c:pt>
                <c:pt idx="5">
                  <c:v>-212</c:v>
                </c:pt>
                <c:pt idx="6">
                  <c:v>-207.5</c:v>
                </c:pt>
                <c:pt idx="7">
                  <c:v>0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65-4E97-941D-54C7AC30A26A}"/>
            </c:ext>
          </c:extLst>
        </c:ser>
        <c:ser>
          <c:idx val="3"/>
          <c:order val="4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-262.5</c:v>
                </c:pt>
                <c:pt idx="1">
                  <c:v>-260.5</c:v>
                </c:pt>
                <c:pt idx="2">
                  <c:v>-224.5</c:v>
                </c:pt>
                <c:pt idx="3">
                  <c:v>-224.5</c:v>
                </c:pt>
                <c:pt idx="4">
                  <c:v>-214</c:v>
                </c:pt>
                <c:pt idx="5">
                  <c:v>-212</c:v>
                </c:pt>
                <c:pt idx="6">
                  <c:v>-207.5</c:v>
                </c:pt>
                <c:pt idx="7">
                  <c:v>0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5.1127838390971569E-2</c:v>
                </c:pt>
                <c:pt idx="1">
                  <c:v>5.0738302351009283E-2</c:v>
                </c:pt>
                <c:pt idx="2">
                  <c:v>4.3726653631688046E-2</c:v>
                </c:pt>
                <c:pt idx="3">
                  <c:v>4.3726653631688046E-2</c:v>
                </c:pt>
                <c:pt idx="4">
                  <c:v>4.1681589421886017E-2</c:v>
                </c:pt>
                <c:pt idx="5">
                  <c:v>4.1292053381923724E-2</c:v>
                </c:pt>
                <c:pt idx="6">
                  <c:v>4.0415597292008575E-2</c:v>
                </c:pt>
                <c:pt idx="7">
                  <c:v>1.2331459208897444E-6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65-4E97-941D-54C7AC30A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427120"/>
        <c:axId val="1"/>
      </c:scatterChart>
      <c:valAx>
        <c:axId val="628427120"/>
        <c:scaling>
          <c:orientation val="minMax"/>
          <c:max val="10"/>
          <c:min val="-6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9091036347729258"/>
              <c:y val="0.840843363048087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E-3"/>
          <c:min val="-3.0000000000000001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575757575757576E-3"/>
              <c:y val="0.327328273155044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8427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9696969696969695E-2"/>
          <c:y val="0.89489741710214155"/>
          <c:w val="0.94091052254831786"/>
          <c:h val="9.60964113720019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2750-0054 - Prim. O-C Diagr.</a:t>
            </a:r>
          </a:p>
        </c:rich>
      </c:tx>
      <c:layout>
        <c:manualLayout>
          <c:xMode val="edge"/>
          <c:yMode val="edge"/>
          <c:x val="0.23492745319516972"/>
          <c:y val="3.313253012048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76216208268087"/>
          <c:y val="0.14060992375953005"/>
          <c:w val="0.80034275127373766"/>
          <c:h val="0.63951037370328712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-262.5</c:v>
                </c:pt>
                <c:pt idx="1">
                  <c:v>-260.5</c:v>
                </c:pt>
                <c:pt idx="2">
                  <c:v>-224.5</c:v>
                </c:pt>
                <c:pt idx="3">
                  <c:v>-224.5</c:v>
                </c:pt>
                <c:pt idx="4">
                  <c:v>-214</c:v>
                </c:pt>
                <c:pt idx="5">
                  <c:v>-212</c:v>
                </c:pt>
                <c:pt idx="6">
                  <c:v>-207.5</c:v>
                </c:pt>
                <c:pt idx="7">
                  <c:v>0</c:v>
                </c:pt>
              </c:numCache>
            </c:numRef>
          </c:xVal>
          <c:yVal>
            <c:numRef>
              <c:f>'Active 1'!$R$21:$R$921</c:f>
              <c:numCache>
                <c:formatCode>General</c:formatCode>
                <c:ptCount val="901"/>
                <c:pt idx="4">
                  <c:v>4.155087595427176E-2</c:v>
                </c:pt>
                <c:pt idx="5">
                  <c:v>4.1423999995458871E-2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7F-49F2-AA80-D417222155E7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-262.5</c:v>
                </c:pt>
                <c:pt idx="1">
                  <c:v>-260.5</c:v>
                </c:pt>
                <c:pt idx="2">
                  <c:v>-224.5</c:v>
                </c:pt>
                <c:pt idx="3">
                  <c:v>-224.5</c:v>
                </c:pt>
                <c:pt idx="4">
                  <c:v>-214</c:v>
                </c:pt>
                <c:pt idx="5">
                  <c:v>-212</c:v>
                </c:pt>
                <c:pt idx="6">
                  <c:v>-207.5</c:v>
                </c:pt>
                <c:pt idx="7">
                  <c:v>0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5.1127838390971569E-2</c:v>
                </c:pt>
                <c:pt idx="1">
                  <c:v>5.0738302351009283E-2</c:v>
                </c:pt>
                <c:pt idx="2">
                  <c:v>4.3726653631688046E-2</c:v>
                </c:pt>
                <c:pt idx="3">
                  <c:v>4.3726653631688046E-2</c:v>
                </c:pt>
                <c:pt idx="4">
                  <c:v>4.1681589421886017E-2</c:v>
                </c:pt>
                <c:pt idx="5">
                  <c:v>4.1292053381923724E-2</c:v>
                </c:pt>
                <c:pt idx="6">
                  <c:v>4.0415597292008575E-2</c:v>
                </c:pt>
                <c:pt idx="7">
                  <c:v>1.2331459208897444E-6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7F-49F2-AA80-D41722215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173144"/>
        <c:axId val="1"/>
      </c:scatterChart>
      <c:valAx>
        <c:axId val="530173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846219326534284"/>
              <c:y val="0.840361445783132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5.000000000000001E-2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70481927710843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0173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995885649428955"/>
          <c:y val="0.92168674698795183"/>
          <c:w val="0.30353452180223828"/>
          <c:h val="6.02409638554216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2750-0054 - Sec. O-C Diagr.</a:t>
            </a:r>
          </a:p>
        </c:rich>
      </c:tx>
      <c:layout>
        <c:manualLayout>
          <c:xMode val="edge"/>
          <c:yMode val="edge"/>
          <c:x val="0.24489817344260537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2551476840039"/>
          <c:y val="0.13209625905195585"/>
          <c:w val="0.79919588924623863"/>
          <c:h val="0.64868671536539857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-262.5</c:v>
                </c:pt>
                <c:pt idx="1">
                  <c:v>-260.5</c:v>
                </c:pt>
                <c:pt idx="2">
                  <c:v>-224.5</c:v>
                </c:pt>
                <c:pt idx="3">
                  <c:v>-224.5</c:v>
                </c:pt>
                <c:pt idx="4">
                  <c:v>-214</c:v>
                </c:pt>
                <c:pt idx="5">
                  <c:v>-212</c:v>
                </c:pt>
                <c:pt idx="6">
                  <c:v>-207.5</c:v>
                </c:pt>
                <c:pt idx="7">
                  <c:v>0</c:v>
                </c:pt>
              </c:numCache>
            </c:numRef>
          </c:xVal>
          <c:yVal>
            <c:numRef>
              <c:f>'Active 1'!$S$21:$S$921</c:f>
              <c:numCache>
                <c:formatCode>General</c:formatCode>
                <c:ptCount val="901"/>
                <c:pt idx="0">
                  <c:v>4.2212500004097819E-2</c:v>
                </c:pt>
                <c:pt idx="1">
                  <c:v>4.1517302917782217E-2</c:v>
                </c:pt>
                <c:pt idx="3">
                  <c:v>4.2686499997216742E-2</c:v>
                </c:pt>
                <c:pt idx="6">
                  <c:v>4.3600495257123839E-2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BE-49D4-B8A9-44BEFA4B88F9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Estimate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-262.5</c:v>
                </c:pt>
                <c:pt idx="1">
                  <c:v>-260.5</c:v>
                </c:pt>
                <c:pt idx="2">
                  <c:v>-224.5</c:v>
                </c:pt>
                <c:pt idx="3">
                  <c:v>-224.5</c:v>
                </c:pt>
                <c:pt idx="4">
                  <c:v>-214</c:v>
                </c:pt>
                <c:pt idx="5">
                  <c:v>-212</c:v>
                </c:pt>
                <c:pt idx="6">
                  <c:v>-207.5</c:v>
                </c:pt>
                <c:pt idx="7">
                  <c:v>0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4.9326605245050677E-2</c:v>
                </c:pt>
                <c:pt idx="1">
                  <c:v>4.893706920508839E-2</c:v>
                </c:pt>
                <c:pt idx="2">
                  <c:v>4.1925420485767154E-2</c:v>
                </c:pt>
                <c:pt idx="3">
                  <c:v>4.1925420485767154E-2</c:v>
                </c:pt>
                <c:pt idx="4">
                  <c:v>3.9880356275965125E-2</c:v>
                </c:pt>
                <c:pt idx="5">
                  <c:v>3.9490820236002831E-2</c:v>
                </c:pt>
                <c:pt idx="6">
                  <c:v>3.8614364146087682E-2</c:v>
                </c:pt>
                <c:pt idx="7">
                  <c:v>-1.8E-3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BE-49D4-B8A9-44BEFA4B8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9229728"/>
        <c:axId val="1"/>
      </c:scatterChart>
      <c:valAx>
        <c:axId val="539229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5102105094006104"/>
              <c:y val="0.840843363048087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237331820008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9229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571471423214954"/>
          <c:y val="0.92192475940507435"/>
          <c:w val="0.38979634688521081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0</xdr:row>
      <xdr:rowOff>104774</xdr:rowOff>
    </xdr:from>
    <xdr:to>
      <xdr:col>20</xdr:col>
      <xdr:colOff>209550</xdr:colOff>
      <xdr:row>19</xdr:row>
      <xdr:rowOff>9524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E4987BD9-8844-8041-2CFC-1AA7FF25B2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504825</xdr:colOff>
      <xdr:row>1</xdr:row>
      <xdr:rowOff>38100</xdr:rowOff>
    </xdr:from>
    <xdr:to>
      <xdr:col>23</xdr:col>
      <xdr:colOff>85725</xdr:colOff>
      <xdr:row>20</xdr:row>
      <xdr:rowOff>133350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05B47F2-FDB1-6C7D-F715-74CE408D9B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228600</xdr:colOff>
      <xdr:row>0</xdr:row>
      <xdr:rowOff>38100</xdr:rowOff>
    </xdr:from>
    <xdr:to>
      <xdr:col>11</xdr:col>
      <xdr:colOff>323850</xdr:colOff>
      <xdr:row>20</xdr:row>
      <xdr:rowOff>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2BCF41E9-0B29-1175-3425-7B534A5A7D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22</xdr:row>
      <xdr:rowOff>104776</xdr:rowOff>
    </xdr:from>
    <xdr:to>
      <xdr:col>11</xdr:col>
      <xdr:colOff>247650</xdr:colOff>
      <xdr:row>42</xdr:row>
      <xdr:rowOff>28576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6175C0AC-CC64-61FF-63CD-352B4BC4FF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tabSelected="1" workbookViewId="0">
      <selection activeCell="F8" sqref="F7: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0.42578125" customWidth="1"/>
    <col min="4" max="4" width="8.28515625" customWidth="1"/>
    <col min="5" max="5" width="9.42578125" customWidth="1"/>
    <col min="6" max="6" width="16.14062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37</v>
      </c>
      <c r="D1" s="10" t="s">
        <v>38</v>
      </c>
    </row>
    <row r="2" spans="1:6" x14ac:dyDescent="0.2">
      <c r="A2" t="s">
        <v>16</v>
      </c>
      <c r="B2" t="s">
        <v>39</v>
      </c>
      <c r="C2" s="14"/>
      <c r="D2" s="14" t="s">
        <v>40</v>
      </c>
    </row>
    <row r="3" spans="1:6" ht="16.5" thickBot="1" x14ac:dyDescent="0.3">
      <c r="A3" s="37" t="s">
        <v>41</v>
      </c>
      <c r="E3">
        <v>56530.506092515599</v>
      </c>
      <c r="F3" s="38">
        <v>0.471865999378354</v>
      </c>
    </row>
    <row r="4" spans="1:6" ht="14.25" thickTop="1" thickBot="1" x14ac:dyDescent="0.25">
      <c r="A4" s="6" t="s">
        <v>0</v>
      </c>
      <c r="C4" s="39" t="s">
        <v>42</v>
      </c>
      <c r="D4" s="40" t="s">
        <v>42</v>
      </c>
      <c r="F4" s="38">
        <v>1.6597747897137356E-5</v>
      </c>
    </row>
    <row r="5" spans="1:6" ht="13.5" thickTop="1" x14ac:dyDescent="0.2">
      <c r="A5" s="30" t="s">
        <v>29</v>
      </c>
      <c r="B5" s="24"/>
      <c r="C5" s="31">
        <v>-9.5</v>
      </c>
      <c r="D5" s="24" t="s">
        <v>30</v>
      </c>
    </row>
    <row r="6" spans="1:6" x14ac:dyDescent="0.2">
      <c r="A6" s="6" t="s">
        <v>1</v>
      </c>
    </row>
    <row r="7" spans="1:6" x14ac:dyDescent="0.2">
      <c r="A7" t="s">
        <v>2</v>
      </c>
      <c r="C7" s="45">
        <v>56630.738499999999</v>
      </c>
      <c r="D7" s="41" t="s">
        <v>47</v>
      </c>
    </row>
    <row r="8" spans="1:6" x14ac:dyDescent="0.2">
      <c r="A8" t="s">
        <v>3</v>
      </c>
      <c r="C8" s="45">
        <v>0.47187699999999999</v>
      </c>
      <c r="D8" s="41" t="s">
        <v>47</v>
      </c>
    </row>
    <row r="9" spans="1:6" x14ac:dyDescent="0.2">
      <c r="A9" s="22" t="s">
        <v>26</v>
      </c>
      <c r="B9" s="22"/>
      <c r="C9" s="23">
        <v>21</v>
      </c>
      <c r="D9" s="23">
        <v>21</v>
      </c>
    </row>
    <row r="10" spans="1:6" ht="13.5" thickBot="1" x14ac:dyDescent="0.25">
      <c r="A10" s="24"/>
      <c r="B10" s="24"/>
      <c r="C10" s="5" t="s">
        <v>18</v>
      </c>
      <c r="D10" s="5" t="s">
        <v>19</v>
      </c>
    </row>
    <row r="11" spans="1:6" x14ac:dyDescent="0.2">
      <c r="A11" s="24" t="s">
        <v>13</v>
      </c>
      <c r="B11" s="24"/>
      <c r="C11" s="25">
        <f ca="1">INTERCEPT(INDIRECT(C14):R$935,INDIRECT(C13):$F$935)</f>
        <v>1.2331459208897444E-6</v>
      </c>
      <c r="D11" s="43">
        <v>-1.8E-3</v>
      </c>
      <c r="E11" s="22" t="s">
        <v>32</v>
      </c>
      <c r="F11">
        <v>1</v>
      </c>
    </row>
    <row r="12" spans="1:6" x14ac:dyDescent="0.2">
      <c r="A12" s="24" t="s">
        <v>14</v>
      </c>
      <c r="B12" s="24"/>
      <c r="C12" s="25">
        <f ca="1">SLOPE(INDIRECT(C14):R$935,INDIRECT(C13):$F$935)</f>
        <v>-1.9476801998114546E-4</v>
      </c>
      <c r="D12" s="43">
        <f ca="1">C12</f>
        <v>-1.9476801998114546E-4</v>
      </c>
      <c r="E12" s="22" t="s">
        <v>33</v>
      </c>
      <c r="F12" s="32">
        <f ca="1">NOW()+15018.5+$C$5/24</f>
        <v>60371.749060532406</v>
      </c>
    </row>
    <row r="13" spans="1:6" x14ac:dyDescent="0.2">
      <c r="A13" s="22" t="s">
        <v>27</v>
      </c>
      <c r="B13" s="22"/>
      <c r="C13" s="23" t="str">
        <f>"F"&amp;C9</f>
        <v>F21</v>
      </c>
      <c r="D13" s="23" t="str">
        <f>"F"&amp;D9</f>
        <v>F21</v>
      </c>
      <c r="E13" s="22" t="s">
        <v>34</v>
      </c>
      <c r="F13" s="32">
        <f ca="1">ROUND(2*(F12-$C$7)/$C$8,0)/2+F11</f>
        <v>7929</v>
      </c>
    </row>
    <row r="14" spans="1:6" x14ac:dyDescent="0.2">
      <c r="A14" s="22" t="s">
        <v>28</v>
      </c>
      <c r="B14" s="22"/>
      <c r="C14" s="23" t="str">
        <f>"R"&amp;C9</f>
        <v>R21</v>
      </c>
      <c r="D14" s="23" t="str">
        <f>"S"&amp;D9</f>
        <v>S21</v>
      </c>
      <c r="E14" s="22" t="s">
        <v>35</v>
      </c>
      <c r="F14" s="33">
        <f ca="1">ROUND(2*(F12-$C$15)/$C$16,0)/2+F11</f>
        <v>7932</v>
      </c>
    </row>
    <row r="15" spans="1:6" x14ac:dyDescent="0.2">
      <c r="A15" s="26" t="s">
        <v>15</v>
      </c>
      <c r="B15" s="24"/>
      <c r="C15" s="27">
        <f ca="1">($C7+C11)+($C8+C12)*INT(MAX($F21:$F3533))</f>
        <v>56630.738501233143</v>
      </c>
      <c r="D15" s="42">
        <v>56530.741999999998</v>
      </c>
      <c r="E15" s="22" t="s">
        <v>36</v>
      </c>
      <c r="F15" s="34">
        <f ca="1">+$C$15+$C$16*F14-15018.5-$C$5/24</f>
        <v>45354.01779863199</v>
      </c>
    </row>
    <row r="16" spans="1:6" x14ac:dyDescent="0.2">
      <c r="A16" s="28" t="s">
        <v>4</v>
      </c>
      <c r="B16" s="24"/>
      <c r="C16" s="29">
        <f ca="1">+$C8+C12</f>
        <v>0.47168223198001885</v>
      </c>
      <c r="D16" s="25">
        <f ca="1">+$C8+D12</f>
        <v>0.47168223198001885</v>
      </c>
      <c r="E16" s="35"/>
      <c r="F16" s="35" t="s">
        <v>31</v>
      </c>
    </row>
    <row r="17" spans="1:24" ht="13.5" thickBot="1" x14ac:dyDescent="0.25">
      <c r="A17" s="21" t="s">
        <v>25</v>
      </c>
      <c r="C17">
        <f>COUNT(C21:C1247)</f>
        <v>8</v>
      </c>
    </row>
    <row r="18" spans="1:24" ht="14.25" thickTop="1" thickBot="1" x14ac:dyDescent="0.25">
      <c r="A18" s="6" t="s">
        <v>21</v>
      </c>
      <c r="C18" s="3">
        <f ca="1">+C15</f>
        <v>56630.738501233143</v>
      </c>
      <c r="D18" s="4">
        <f ca="1">+C16</f>
        <v>0.47168223198001885</v>
      </c>
      <c r="E18" s="36">
        <f>R19</f>
        <v>3</v>
      </c>
    </row>
    <row r="19" spans="1:24" ht="14.25" thickTop="1" thickBot="1" x14ac:dyDescent="0.25">
      <c r="A19" s="6" t="s">
        <v>22</v>
      </c>
      <c r="C19" s="3">
        <f>+D15</f>
        <v>56530.741999999998</v>
      </c>
      <c r="D19" s="4">
        <f ca="1">+D16</f>
        <v>0.47168223198001885</v>
      </c>
      <c r="E19" s="36">
        <f>S19</f>
        <v>4</v>
      </c>
      <c r="R19">
        <f>COUNT(R21:R322)</f>
        <v>3</v>
      </c>
      <c r="S19">
        <f>COUNT(S21:S322)</f>
        <v>4</v>
      </c>
    </row>
    <row r="20" spans="1:24" ht="14.25" thickTop="1" thickBot="1" x14ac:dyDescent="0.25">
      <c r="A20" s="5" t="s">
        <v>5</v>
      </c>
      <c r="B20" s="5" t="s">
        <v>6</v>
      </c>
      <c r="C20" s="5" t="s">
        <v>7</v>
      </c>
      <c r="D20" s="5" t="s">
        <v>11</v>
      </c>
      <c r="E20" s="5" t="s">
        <v>8</v>
      </c>
      <c r="F20" s="5" t="s">
        <v>9</v>
      </c>
      <c r="G20" s="5" t="s">
        <v>10</v>
      </c>
      <c r="H20" s="8" t="s">
        <v>48</v>
      </c>
      <c r="I20" s="8" t="s">
        <v>47</v>
      </c>
      <c r="J20" s="8" t="s">
        <v>49</v>
      </c>
      <c r="K20" s="8" t="s">
        <v>50</v>
      </c>
      <c r="L20" s="8" t="s">
        <v>24</v>
      </c>
      <c r="M20" s="8" t="s">
        <v>17</v>
      </c>
      <c r="N20" s="8" t="s">
        <v>20</v>
      </c>
      <c r="O20" s="8" t="s">
        <v>23</v>
      </c>
      <c r="P20" s="7" t="s">
        <v>45</v>
      </c>
      <c r="Q20" s="5" t="s">
        <v>12</v>
      </c>
      <c r="R20" s="9" t="s">
        <v>18</v>
      </c>
      <c r="S20" s="9" t="s">
        <v>19</v>
      </c>
      <c r="U20" s="44" t="s">
        <v>51</v>
      </c>
    </row>
    <row r="21" spans="1:24" x14ac:dyDescent="0.2">
      <c r="A21" s="6" t="s">
        <v>43</v>
      </c>
      <c r="C21" s="15">
        <v>56506.913</v>
      </c>
      <c r="D21" s="15">
        <v>1E-3</v>
      </c>
      <c r="E21">
        <f>+(C21-C$7)/C$8</f>
        <v>-262.41054342550922</v>
      </c>
      <c r="F21">
        <f>ROUND(2*E21,0)/2</f>
        <v>-262.5</v>
      </c>
      <c r="G21">
        <f>+C21-(C$7+F21*C$8)</f>
        <v>4.2212500004097819E-2</v>
      </c>
      <c r="H21">
        <f>+G21</f>
        <v>4.2212500004097819E-2</v>
      </c>
      <c r="O21">
        <f ca="1">+C$11+C$12*$F21</f>
        <v>5.1127838390971569E-2</v>
      </c>
      <c r="P21">
        <f ca="1">+D$11+D$12*$F21</f>
        <v>4.9326605245050677E-2</v>
      </c>
      <c r="Q21" s="2">
        <f>+C21-15018.5</f>
        <v>41488.413</v>
      </c>
      <c r="S21">
        <f>G21</f>
        <v>4.2212500004097819E-2</v>
      </c>
      <c r="X21" t="s">
        <v>46</v>
      </c>
    </row>
    <row r="22" spans="1:24" x14ac:dyDescent="0.2">
      <c r="A22" s="6" t="s">
        <v>43</v>
      </c>
      <c r="C22" s="15">
        <v>56507.856058802914</v>
      </c>
      <c r="D22" s="15">
        <v>1E-3</v>
      </c>
      <c r="E22">
        <f t="shared" ref="E22:E27" si="0">+(C22-C$7)/C$8</f>
        <v>-260.41201668461366</v>
      </c>
      <c r="F22">
        <f t="shared" ref="F22:F27" si="1">ROUND(2*E22,0)/2</f>
        <v>-260.5</v>
      </c>
      <c r="G22">
        <f t="shared" ref="G22:G27" si="2">+C22-(C$7+F22*C$8)</f>
        <v>4.1517302917782217E-2</v>
      </c>
      <c r="H22">
        <f>+G22</f>
        <v>4.1517302917782217E-2</v>
      </c>
      <c r="O22">
        <f t="shared" ref="O22:O27" ca="1" si="3">+C$11+C$12*$F22</f>
        <v>5.0738302351009283E-2</v>
      </c>
      <c r="P22">
        <f t="shared" ref="P22:P27" ca="1" si="4">+D$11+D$12*$F22</f>
        <v>4.893706920508839E-2</v>
      </c>
      <c r="Q22" s="2">
        <f t="shared" ref="Q22:Q27" si="5">+C22-15018.5</f>
        <v>41489.356058802914</v>
      </c>
      <c r="S22">
        <f>G22</f>
        <v>4.1517302917782217E-2</v>
      </c>
      <c r="X22" t="s">
        <v>46</v>
      </c>
    </row>
    <row r="23" spans="1:24" x14ac:dyDescent="0.2">
      <c r="A23" s="6" t="s">
        <v>43</v>
      </c>
      <c r="C23" s="15">
        <v>56524.741000000002</v>
      </c>
      <c r="D23" s="15">
        <v>1E-3</v>
      </c>
      <c r="E23">
        <f t="shared" si="0"/>
        <v>-224.62951150405226</v>
      </c>
      <c r="F23">
        <f t="shared" si="1"/>
        <v>-224.5</v>
      </c>
      <c r="G23">
        <f t="shared" si="2"/>
        <v>-6.1113499999919441E-2</v>
      </c>
      <c r="O23">
        <f t="shared" ca="1" si="3"/>
        <v>4.3726653631688046E-2</v>
      </c>
      <c r="P23">
        <f t="shared" ca="1" si="4"/>
        <v>4.1925420485767154E-2</v>
      </c>
      <c r="Q23" s="2">
        <f t="shared" si="5"/>
        <v>41506.241000000002</v>
      </c>
      <c r="U23">
        <v>-6.1113499999919441E-2</v>
      </c>
      <c r="X23" t="s">
        <v>46</v>
      </c>
    </row>
    <row r="24" spans="1:24" x14ac:dyDescent="0.2">
      <c r="A24" s="6" t="s">
        <v>43</v>
      </c>
      <c r="C24" s="15">
        <v>56524.844799999999</v>
      </c>
      <c r="D24" s="15">
        <v>2.9999999999999997E-4</v>
      </c>
      <c r="E24">
        <f t="shared" si="0"/>
        <v>-224.40953892645868</v>
      </c>
      <c r="F24">
        <f t="shared" si="1"/>
        <v>-224.5</v>
      </c>
      <c r="G24">
        <f t="shared" si="2"/>
        <v>4.2686499997216742E-2</v>
      </c>
      <c r="H24">
        <f>+G24</f>
        <v>4.2686499997216742E-2</v>
      </c>
      <c r="O24">
        <f t="shared" ca="1" si="3"/>
        <v>4.3726653631688046E-2</v>
      </c>
      <c r="P24">
        <f t="shared" ca="1" si="4"/>
        <v>4.1925420485767154E-2</v>
      </c>
      <c r="Q24" s="2">
        <f t="shared" si="5"/>
        <v>41506.344799999999</v>
      </c>
      <c r="S24">
        <f>G24</f>
        <v>4.2686499997216742E-2</v>
      </c>
      <c r="X24" t="s">
        <v>46</v>
      </c>
    </row>
    <row r="25" spans="1:24" x14ac:dyDescent="0.2">
      <c r="A25" s="11" t="s">
        <v>44</v>
      </c>
      <c r="C25" s="15">
        <v>56529.798372875957</v>
      </c>
      <c r="D25" s="15">
        <v>1E-3</v>
      </c>
      <c r="E25">
        <f t="shared" si="0"/>
        <v>-213.9119455367441</v>
      </c>
      <c r="F25">
        <f t="shared" si="1"/>
        <v>-214</v>
      </c>
      <c r="G25">
        <f t="shared" si="2"/>
        <v>4.155087595427176E-2</v>
      </c>
      <c r="H25">
        <f>+G25</f>
        <v>4.155087595427176E-2</v>
      </c>
      <c r="O25">
        <f t="shared" ca="1" si="3"/>
        <v>4.1681589421886017E-2</v>
      </c>
      <c r="P25">
        <f t="shared" ca="1" si="4"/>
        <v>3.9880356275965125E-2</v>
      </c>
      <c r="Q25" s="2">
        <f t="shared" si="5"/>
        <v>41511.298372875957</v>
      </c>
      <c r="R25">
        <f>G25</f>
        <v>4.155087595427176E-2</v>
      </c>
      <c r="X25" t="s">
        <v>46</v>
      </c>
    </row>
    <row r="26" spans="1:24" x14ac:dyDescent="0.2">
      <c r="A26" s="6" t="s">
        <v>43</v>
      </c>
      <c r="C26" s="15">
        <v>56530.741999999998</v>
      </c>
      <c r="D26" s="15">
        <v>1E-3</v>
      </c>
      <c r="E26">
        <f t="shared" si="0"/>
        <v>-211.9122144118088</v>
      </c>
      <c r="F26">
        <f t="shared" si="1"/>
        <v>-212</v>
      </c>
      <c r="G26">
        <f t="shared" si="2"/>
        <v>4.1423999995458871E-2</v>
      </c>
      <c r="H26">
        <f>+G26</f>
        <v>4.1423999995458871E-2</v>
      </c>
      <c r="O26">
        <f t="shared" ca="1" si="3"/>
        <v>4.1292053381923724E-2</v>
      </c>
      <c r="P26">
        <f t="shared" ca="1" si="4"/>
        <v>3.9490820236002831E-2</v>
      </c>
      <c r="Q26" s="2">
        <f t="shared" si="5"/>
        <v>41512.241999999998</v>
      </c>
      <c r="R26">
        <f>G26</f>
        <v>4.1423999995458871E-2</v>
      </c>
      <c r="X26" t="s">
        <v>46</v>
      </c>
    </row>
    <row r="27" spans="1:24" x14ac:dyDescent="0.2">
      <c r="A27" s="11" t="s">
        <v>44</v>
      </c>
      <c r="C27" s="15">
        <v>56532.867622995254</v>
      </c>
      <c r="D27" s="15">
        <v>5.0000000000000001E-4</v>
      </c>
      <c r="E27">
        <f t="shared" si="0"/>
        <v>-207.40760199108058</v>
      </c>
      <c r="F27">
        <f t="shared" si="1"/>
        <v>-207.5</v>
      </c>
      <c r="G27">
        <f t="shared" si="2"/>
        <v>4.3600495257123839E-2</v>
      </c>
      <c r="H27">
        <f>+G27</f>
        <v>4.3600495257123839E-2</v>
      </c>
      <c r="O27">
        <f t="shared" ca="1" si="3"/>
        <v>4.0415597292008575E-2</v>
      </c>
      <c r="P27">
        <f t="shared" ca="1" si="4"/>
        <v>3.8614364146087682E-2</v>
      </c>
      <c r="Q27" s="2">
        <f t="shared" si="5"/>
        <v>41514.367622995254</v>
      </c>
      <c r="S27">
        <f>G27</f>
        <v>4.3600495257123839E-2</v>
      </c>
      <c r="X27" t="s">
        <v>46</v>
      </c>
    </row>
    <row r="28" spans="1:24" x14ac:dyDescent="0.2">
      <c r="A28" s="11" t="str">
        <f>$D$7</f>
        <v>VSX</v>
      </c>
      <c r="B28" s="11"/>
      <c r="C28" s="12">
        <f>$C$7</f>
        <v>56630.738499999999</v>
      </c>
      <c r="D28" s="12"/>
      <c r="E28">
        <f t="shared" ref="E28" si="6">+(C28-C$7)/C$8</f>
        <v>0</v>
      </c>
      <c r="F28">
        <f t="shared" ref="F28" si="7">ROUND(2*E28,0)/2</f>
        <v>0</v>
      </c>
      <c r="G28">
        <f t="shared" ref="G28" si="8">+C28-(C$7+F28*C$8)</f>
        <v>0</v>
      </c>
      <c r="I28">
        <f>+G28</f>
        <v>0</v>
      </c>
      <c r="O28">
        <f t="shared" ref="O28" ca="1" si="9">+C$11+C$12*$F28</f>
        <v>1.2331459208897444E-6</v>
      </c>
      <c r="P28">
        <f t="shared" ref="P28" ca="1" si="10">+D$11+D$12*$F28</f>
        <v>-1.8E-3</v>
      </c>
      <c r="Q28" s="2">
        <f t="shared" ref="Q28" si="11">+C28-15018.5</f>
        <v>41612.238499999999</v>
      </c>
      <c r="R28">
        <f t="shared" ref="R28" si="12">G28</f>
        <v>0</v>
      </c>
    </row>
    <row r="29" spans="1:24" x14ac:dyDescent="0.2">
      <c r="A29" s="16"/>
      <c r="B29" s="17"/>
      <c r="C29" s="18"/>
      <c r="D29" s="18"/>
      <c r="Q29" s="2"/>
    </row>
    <row r="30" spans="1:24" x14ac:dyDescent="0.2">
      <c r="A30" s="13"/>
      <c r="B30" s="14"/>
      <c r="C30" s="12"/>
      <c r="D30" s="15"/>
      <c r="Q30" s="2"/>
    </row>
    <row r="31" spans="1:24" x14ac:dyDescent="0.2">
      <c r="A31" s="16"/>
      <c r="B31" s="19"/>
      <c r="C31" s="12"/>
      <c r="D31" s="12"/>
      <c r="Q31" s="2"/>
    </row>
    <row r="32" spans="1:24" x14ac:dyDescent="0.2">
      <c r="A32" s="16"/>
      <c r="B32" s="19"/>
      <c r="C32" s="12"/>
      <c r="D32" s="12"/>
      <c r="Q32" s="2"/>
    </row>
    <row r="33" spans="1:17" x14ac:dyDescent="0.2">
      <c r="A33" s="20"/>
      <c r="B33" s="14"/>
      <c r="C33" s="12"/>
      <c r="D33" s="15"/>
      <c r="Q33" s="2"/>
    </row>
    <row r="34" spans="1:17" x14ac:dyDescent="0.2">
      <c r="A34" s="20"/>
      <c r="B34" s="14"/>
      <c r="C34" s="12"/>
      <c r="D34" s="15"/>
      <c r="Q34" s="2"/>
    </row>
    <row r="35" spans="1:17" x14ac:dyDescent="0.2">
      <c r="A35" s="20"/>
      <c r="B35" s="14"/>
      <c r="C35" s="12"/>
      <c r="D35" s="15"/>
      <c r="Q35" s="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2024-03-02T04:58:38Z</dcterms:modified>
</cp:coreProperties>
</file>