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31FC0E-AFBE-425E-A5AE-37D6851C28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F17" i="1" s="1"/>
  <c r="A21" i="1"/>
  <c r="C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21" i="1"/>
  <c r="F21" i="1"/>
  <c r="G21" i="1"/>
  <c r="C17" i="1"/>
  <c r="Q21" i="1"/>
  <c r="I21" i="1"/>
  <c r="C12" i="1"/>
  <c r="C11" i="1"/>
  <c r="C15" i="1" l="1"/>
  <c r="O24" i="1"/>
  <c r="O22" i="1"/>
  <c r="O26" i="1"/>
  <c r="O28" i="1"/>
  <c r="O30" i="1"/>
  <c r="O32" i="1"/>
  <c r="O23" i="1"/>
  <c r="O27" i="1"/>
  <c r="O33" i="1"/>
  <c r="O21" i="1"/>
  <c r="O31" i="1"/>
  <c r="O25" i="1"/>
  <c r="O2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<sst xmlns="http://schemas.openxmlformats.org/spreadsheetml/2006/main" count="74" uniqueCount="56">
  <si>
    <t>KV Peg / GSC 1667-0026</t>
  </si>
  <si>
    <t>System Type:</t>
  </si>
  <si>
    <t>EW/KW</t>
  </si>
  <si>
    <t>KV Peg</t>
  </si>
  <si>
    <t>G1667-0026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</si>
  <si>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</si>
  <si>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</si>
  <si>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</si>
  <si>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</si>
  <si>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</si>
  <si>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</si>
  <si>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BRNO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</si>
  <si>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</si>
  <si>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</si>
  <si>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</si>
  <si>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</si>
  <si>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</si>
  <si>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</si>
  <si>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</si>
  <si>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</si>
  <si>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</si>
  <si>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</si>
  <si>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</si>
  <si>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</si>
  <si>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</si>
  <si>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</si>
  <si>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</si>
  <si>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</si>
  <si>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</si>
  <si>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</si>
  <si>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</si>
  <si>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</si>
  <si>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</si>
  <si>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</si>
  <si>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</si>
  <si>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</si>
  <si>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</si>
  <si>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</si>
  <si>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</si>
  <si>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</si>
  <si>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</si>
  <si>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</si>
  <si>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</si>
  <si>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</si>
  <si>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</si>
  <si>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</si>
  <si>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</si>
  <si>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OEJV 0074</t>
  </si>
  <si>
    <t>I</t>
  </si>
  <si>
    <t>OEJV 0137</t>
  </si>
  <si>
    <t>OEJV 0160</t>
  </si>
  <si>
    <t>II</t>
  </si>
  <si>
    <t>OEJV 0179</t>
  </si>
  <si>
    <t>JAVSO..44…69</t>
  </si>
  <si>
    <t>JAVSO..47..105</t>
  </si>
  <si>
    <t>JAVSO..46..184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</si>
</sst>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2" fillId="0" borderId="0"/>
    <xf numFmtId="0" fontId="12" fillId="0" borderId="0"/>
  </cellStyleXfs>
  <cellXfs count="4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166" fontId="0" fillId="0" borderId="0" xfId="0" applyNumberForma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9" fillId="3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/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Peg - O-C Diagr.</a:t>
            </a:r>
          </a:p>
        </c:rich>
      </c:tx>
      <c:layout>
        <c:manualLayout>
          <c:xMode val="edge"/>
          <c:yMode val="edge"/>
          <c:x val="0.3778114092560019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87809431081"/>
          <c:y val="0.22822889753688513"/>
          <c:w val="0.8215898068469234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Active!$H$21:$H$33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4-4F15-9659-A63845320E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Active!$I$21:$I$33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4-4F15-9659-A63845320EF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Active!$J$21:$J$33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4-4F15-9659-A63845320EF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1">
                  <c:v>0.42648000000190223</c:v>
                </c:pt>
                <c:pt idx="2">
                  <c:v>0.47335999999631895</c:v>
                </c:pt>
                <c:pt idx="3">
                  <c:v>0.47545999999420019</c:v>
                </c:pt>
                <c:pt idx="4">
                  <c:v>0.48655999999755295</c:v>
                </c:pt>
                <c:pt idx="5">
                  <c:v>0.51418499999999767</c:v>
                </c:pt>
                <c:pt idx="6">
                  <c:v>0.52140499999950407</c:v>
                </c:pt>
                <c:pt idx="7">
                  <c:v>0.51724499999545515</c:v>
                </c:pt>
                <c:pt idx="8">
                  <c:v>0.61114000000088708</c:v>
                </c:pt>
                <c:pt idx="9">
                  <c:v>0.61604999999690335</c:v>
                </c:pt>
                <c:pt idx="10">
                  <c:v>0.61665000000357395</c:v>
                </c:pt>
                <c:pt idx="11">
                  <c:v>0.68260000000009313</c:v>
                </c:pt>
                <c:pt idx="12">
                  <c:v>0.65459999999438878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4-4F15-9659-A63845320EF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Active!$L$21:$L$33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4-4F15-9659-A63845320E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Active!$M$21:$M$33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4-4F15-9659-A63845320E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Active!$N$21:$N$33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4-4F15-9659-A63845320E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Active!$O$21:$O$33</c:f>
              <c:numCache>
                <c:formatCode>General</c:formatCode>
                <c:ptCount val="13"/>
                <c:pt idx="0">
                  <c:v>4.1373865368066198E-3</c:v>
                </c:pt>
                <c:pt idx="1">
                  <c:v>0.42620050524651387</c:v>
                </c:pt>
                <c:pt idx="2">
                  <c:v>0.47418291225769188</c:v>
                </c:pt>
                <c:pt idx="3">
                  <c:v>0.47418291225769188</c:v>
                </c:pt>
                <c:pt idx="4">
                  <c:v>0.47418291225769188</c:v>
                </c:pt>
                <c:pt idx="5">
                  <c:v>0.51542605218865856</c:v>
                </c:pt>
                <c:pt idx="6">
                  <c:v>0.51580779716487968</c:v>
                </c:pt>
                <c:pt idx="7">
                  <c:v>0.51894985196916121</c:v>
                </c:pt>
                <c:pt idx="8">
                  <c:v>0.61337300358754732</c:v>
                </c:pt>
                <c:pt idx="9">
                  <c:v>0.61666188338268313</c:v>
                </c:pt>
                <c:pt idx="10">
                  <c:v>0.61736664333878366</c:v>
                </c:pt>
                <c:pt idx="11">
                  <c:v>0.68376090420308822</c:v>
                </c:pt>
                <c:pt idx="12">
                  <c:v>0.66150223558957966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4-4F15-9659-A63845320E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Active!$U$21:$U$33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24-4F15-9659-A6384532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33976"/>
        <c:axId val="1"/>
      </c:scatterChart>
      <c:valAx>
        <c:axId val="712033976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431933639479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033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40495500281354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Peg - O-C Diagr.</a:t>
            </a:r>
          </a:p>
        </c:rich>
      </c:tx>
      <c:layout>
        <c:manualLayout>
          <c:xMode val="edge"/>
          <c:yMode val="edge"/>
          <c:x val="0.3738605014798682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8063733365589"/>
          <c:y val="0.22754524283256169"/>
          <c:w val="0.82978784980220144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Active!$H$21:$H$33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CE-47C3-93DF-977F8134AC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Active!$I$21:$I$33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CE-47C3-93DF-977F8134AC1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Active!$J$21:$J$33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CE-47C3-93DF-977F8134AC1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1">
                  <c:v>0.42648000000190223</c:v>
                </c:pt>
                <c:pt idx="2">
                  <c:v>0.47335999999631895</c:v>
                </c:pt>
                <c:pt idx="3">
                  <c:v>0.47545999999420019</c:v>
                </c:pt>
                <c:pt idx="4">
                  <c:v>0.48655999999755295</c:v>
                </c:pt>
                <c:pt idx="5">
                  <c:v>0.51418499999999767</c:v>
                </c:pt>
                <c:pt idx="6">
                  <c:v>0.52140499999950407</c:v>
                </c:pt>
                <c:pt idx="7">
                  <c:v>0.51724499999545515</c:v>
                </c:pt>
                <c:pt idx="8">
                  <c:v>0.61114000000088708</c:v>
                </c:pt>
                <c:pt idx="9">
                  <c:v>0.61604999999690335</c:v>
                </c:pt>
                <c:pt idx="10">
                  <c:v>0.61665000000357395</c:v>
                </c:pt>
                <c:pt idx="11">
                  <c:v>0.68260000000009313</c:v>
                </c:pt>
                <c:pt idx="12">
                  <c:v>0.65459999999438878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CE-47C3-93DF-977F8134AC1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Active!$L$21:$L$33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CE-47C3-93DF-977F8134AC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Active!$M$21:$M$33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CE-47C3-93DF-977F8134AC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Active!$N$21:$N$33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CE-47C3-93DF-977F8134AC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Active!$O$21:$O$33</c:f>
              <c:numCache>
                <c:formatCode>General</c:formatCode>
                <c:ptCount val="13"/>
                <c:pt idx="0">
                  <c:v>4.1373865368066198E-3</c:v>
                </c:pt>
                <c:pt idx="1">
                  <c:v>0.42620050524651387</c:v>
                </c:pt>
                <c:pt idx="2">
                  <c:v>0.47418291225769188</c:v>
                </c:pt>
                <c:pt idx="3">
                  <c:v>0.47418291225769188</c:v>
                </c:pt>
                <c:pt idx="4">
                  <c:v>0.47418291225769188</c:v>
                </c:pt>
                <c:pt idx="5">
                  <c:v>0.51542605218865856</c:v>
                </c:pt>
                <c:pt idx="6">
                  <c:v>0.51580779716487968</c:v>
                </c:pt>
                <c:pt idx="7">
                  <c:v>0.51894985196916121</c:v>
                </c:pt>
                <c:pt idx="8">
                  <c:v>0.61337300358754732</c:v>
                </c:pt>
                <c:pt idx="9">
                  <c:v>0.61666188338268313</c:v>
                </c:pt>
                <c:pt idx="10">
                  <c:v>0.61736664333878366</c:v>
                </c:pt>
                <c:pt idx="11">
                  <c:v>0.68376090420308822</c:v>
                </c:pt>
                <c:pt idx="12">
                  <c:v>0.66150223558957966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CE-47C3-93DF-977F8134AC1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Active!$F$21:$F$33</c:f>
              <c:numCache>
                <c:formatCode>General</c:formatCode>
                <c:ptCount val="13"/>
                <c:pt idx="0">
                  <c:v>0</c:v>
                </c:pt>
                <c:pt idx="1">
                  <c:v>14373</c:v>
                </c:pt>
                <c:pt idx="2">
                  <c:v>16007</c:v>
                </c:pt>
                <c:pt idx="3">
                  <c:v>16007</c:v>
                </c:pt>
                <c:pt idx="4">
                  <c:v>16007</c:v>
                </c:pt>
                <c:pt idx="5">
                  <c:v>17411.5</c:v>
                </c:pt>
                <c:pt idx="6">
                  <c:v>17424.5</c:v>
                </c:pt>
                <c:pt idx="7">
                  <c:v>17531.5</c:v>
                </c:pt>
                <c:pt idx="8">
                  <c:v>20747</c:v>
                </c:pt>
                <c:pt idx="9">
                  <c:v>20859</c:v>
                </c:pt>
                <c:pt idx="10">
                  <c:v>20883</c:v>
                </c:pt>
                <c:pt idx="11">
                  <c:v>23144</c:v>
                </c:pt>
                <c:pt idx="12">
                  <c:v>22386</c:v>
                </c:pt>
              </c:numCache>
            </c:numRef>
          </c:xVal>
          <c:yVal>
            <c:numRef>
              <c:f>Active!$U$21:$U$33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CE-47C3-93DF-977F8134A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952200"/>
        <c:axId val="1"/>
      </c:scatterChart>
      <c:valAx>
        <c:axId val="643952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1188601424822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71732522796353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52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33146654540522"/>
          <c:y val="0.91616892199852262"/>
          <c:w val="0.7218849771438145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371475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34F697E-90B1-FB0C-CCDE-B2434F458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0</xdr:rowOff>
    </xdr:from>
    <xdr:to>
      <xdr:col>27</xdr:col>
      <xdr:colOff>257175</xdr:colOff>
      <xdr:row>18</xdr:row>
      <xdr:rowOff>142875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46EE076-AF30-6E67-D96D-A9D6D2479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Normal="100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s="13" customFormat="1" ht="12.95" customHeight="1" x14ac:dyDescent="0.2">
      <c r="A2" s="13" t="s">
        <v>1</v>
      </c>
      <c r="B2" s="13" t="s">
        <v>2</v>
      </c>
      <c r="C2" s="14"/>
      <c r="D2" s="14"/>
      <c r="E2" s="15" t="s">
        <v>3</v>
      </c>
      <c r="F2" s="13" t="s">
        <v>4</v>
      </c>
    </row>
    <row r="3" spans="1:6" s="13" customFormat="1" ht="12.95" customHeight="1" x14ac:dyDescent="0.2"/>
    <row r="4" spans="1:6" s="13" customFormat="1" ht="12.95" customHeight="1" x14ac:dyDescent="0.2">
      <c r="A4" s="16" t="s">
        <v>5</v>
      </c>
      <c r="C4" s="17" t="s">
        <v>6</v>
      </c>
      <c r="D4" s="18" t="s">
        <v>6</v>
      </c>
    </row>
    <row r="5" spans="1:6" s="13" customFormat="1" ht="12.95" customHeight="1" x14ac:dyDescent="0.2">
      <c r="A5" s="19" t="s">
        <v>7</v>
      </c>
      <c r="B5" s="15"/>
      <c r="C5" s="20">
        <v>-9.5</v>
      </c>
      <c r="D5" s="15" t="s">
        <v>8</v>
      </c>
    </row>
    <row r="6" spans="1:6" s="13" customFormat="1" ht="12.95" customHeight="1" x14ac:dyDescent="0.2">
      <c r="A6" s="16" t="s">
        <v>9</v>
      </c>
    </row>
    <row r="7" spans="1:6" s="13" customFormat="1" ht="12.95" customHeight="1" x14ac:dyDescent="0.2">
      <c r="A7" s="13" t="s">
        <v>10</v>
      </c>
      <c r="C7" s="41">
        <v>47777.868000000002</v>
      </c>
      <c r="D7" s="22" t="s">
        <v>11</v>
      </c>
    </row>
    <row r="8" spans="1:6" s="13" customFormat="1" ht="12.95" customHeight="1" x14ac:dyDescent="0.2">
      <c r="A8" s="13" t="s">
        <v>12</v>
      </c>
      <c r="C8" s="41">
        <v>0.45774999999999999</v>
      </c>
      <c r="D8" s="22" t="s">
        <v>11</v>
      </c>
    </row>
    <row r="9" spans="1:6" s="13" customFormat="1" ht="12.95" customHeight="1" x14ac:dyDescent="0.2">
      <c r="A9" s="23" t="s">
        <v>13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6" s="13" customFormat="1" ht="12.95" customHeight="1" x14ac:dyDescent="0.2">
      <c r="A10" s="15"/>
      <c r="B10" s="15"/>
      <c r="C10" s="27" t="s">
        <v>14</v>
      </c>
      <c r="D10" s="27" t="s">
        <v>15</v>
      </c>
      <c r="E10" s="15"/>
    </row>
    <row r="11" spans="1:6" s="13" customFormat="1" ht="12.95" customHeight="1" x14ac:dyDescent="0.2">
      <c r="A11" s="15" t="s">
        <v>16</v>
      </c>
      <c r="B11" s="15"/>
      <c r="C11" s="26">
        <f ca="1">INTERCEPT(INDIRECT($D$9):G992,INDIRECT($C$9):F992)</f>
        <v>4.1373865368066198E-3</v>
      </c>
      <c r="D11" s="14"/>
      <c r="E11" s="15"/>
    </row>
    <row r="12" spans="1:6" s="13" customFormat="1" ht="12.95" customHeight="1" x14ac:dyDescent="0.2">
      <c r="A12" s="15" t="s">
        <v>17</v>
      </c>
      <c r="B12" s="15"/>
      <c r="C12" s="26">
        <f ca="1">SLOPE(INDIRECT($D$9):G992,INDIRECT($C$9):F992)</f>
        <v>2.936499817085558E-5</v>
      </c>
      <c r="D12" s="14"/>
      <c r="E12" s="15"/>
    </row>
    <row r="13" spans="1:6" s="13" customFormat="1" ht="12.95" customHeight="1" x14ac:dyDescent="0.2">
      <c r="A13" s="15" t="s">
        <v>18</v>
      </c>
      <c r="B13" s="15"/>
      <c r="C13" s="14" t="s">
        <v>19</v>
      </c>
    </row>
    <row r="14" spans="1:6" s="13" customFormat="1" ht="12.95" customHeight="1" x14ac:dyDescent="0.2">
      <c r="A14" s="15"/>
      <c r="B14" s="15"/>
      <c r="C14" s="15"/>
    </row>
    <row r="15" spans="1:6" s="13" customFormat="1" ht="12.95" customHeight="1" x14ac:dyDescent="0.2">
      <c r="A15" s="16" t="s">
        <v>20</v>
      </c>
      <c r="B15" s="15"/>
      <c r="C15" s="28">
        <f ca="1">(C7+C11)+(C8+C12)*INT(MAX(F21:F3533))</f>
        <v>58372.717760904205</v>
      </c>
      <c r="E15" s="23" t="s">
        <v>21</v>
      </c>
      <c r="F15" s="20">
        <v>1</v>
      </c>
    </row>
    <row r="16" spans="1:6" s="13" customFormat="1" ht="12.95" customHeight="1" x14ac:dyDescent="0.2">
      <c r="A16" s="16" t="s">
        <v>22</v>
      </c>
      <c r="B16" s="15"/>
      <c r="C16" s="28">
        <f ca="1">+C8+C12</f>
        <v>0.45777936499817085</v>
      </c>
      <c r="E16" s="23" t="s">
        <v>23</v>
      </c>
      <c r="F16" s="26">
        <f ca="1">NOW()+15018.5+$C$5/24</f>
        <v>60371.764669907403</v>
      </c>
    </row>
    <row r="17" spans="1:21" s="13" customFormat="1" ht="12.95" customHeight="1" x14ac:dyDescent="0.2">
      <c r="A17" s="23" t="s">
        <v>24</v>
      </c>
      <c r="B17" s="15"/>
      <c r="C17" s="15">
        <f>COUNT(C21:C2191)</f>
        <v>13</v>
      </c>
      <c r="E17" s="23" t="s">
        <v>25</v>
      </c>
      <c r="F17" s="26">
        <f ca="1">ROUND(2*(F16-$C$7)/$C$8,0)/2+F15</f>
        <v>27513.5</v>
      </c>
    </row>
    <row r="18" spans="1:21" s="13" customFormat="1" ht="12.95" customHeight="1" x14ac:dyDescent="0.2">
      <c r="A18" s="16" t="s">
        <v>26</v>
      </c>
      <c r="B18" s="15"/>
      <c r="C18" s="29">
        <f ca="1">+C15</f>
        <v>58372.717760904205</v>
      </c>
      <c r="D18" s="30">
        <f ca="1">+C16</f>
        <v>0.45777936499817085</v>
      </c>
      <c r="E18" s="23" t="s">
        <v>27</v>
      </c>
      <c r="F18" s="26">
        <f ca="1">ROUND(2*(F16-$C$15)/$C$16,0)/2+F15</f>
        <v>4368</v>
      </c>
    </row>
    <row r="19" spans="1:21" s="13" customFormat="1" ht="12.95" customHeight="1" x14ac:dyDescent="0.2">
      <c r="E19" s="23" t="s">
        <v>28</v>
      </c>
      <c r="F19" s="31">
        <f ca="1">+$C$15+$C$16*F18-15018.5-$C$5/24</f>
        <v>45354.193860549552</v>
      </c>
    </row>
    <row r="20" spans="1:21" s="13" customFormat="1" ht="12.95" customHeight="1" x14ac:dyDescent="0.2">
      <c r="A20" s="27" t="s">
        <v>29</v>
      </c>
      <c r="B20" s="27" t="s">
        <v>30</v>
      </c>
      <c r="C20" s="27" t="s">
        <v>31</v>
      </c>
      <c r="D20" s="27" t="s">
        <v>32</v>
      </c>
      <c r="E20" s="27" t="s">
        <v>33</v>
      </c>
      <c r="F20" s="27" t="s">
        <v>34</v>
      </c>
      <c r="G20" s="27" t="s">
        <v>35</v>
      </c>
      <c r="H20" s="32" t="s">
        <v>36</v>
      </c>
      <c r="I20" s="32" t="s">
        <v>37</v>
      </c>
      <c r="J20" s="32" t="s">
        <v>38</v>
      </c>
      <c r="K20" s="32" t="s">
        <v>39</v>
      </c>
      <c r="L20" s="32" t="s">
        <v>40</v>
      </c>
      <c r="M20" s="32" t="s">
        <v>41</v>
      </c>
      <c r="N20" s="32" t="s">
        <v>42</v>
      </c>
      <c r="O20" s="32" t="s">
        <v>43</v>
      </c>
      <c r="P20" s="32" t="s">
        <v>44</v>
      </c>
      <c r="Q20" s="27" t="s">
        <v>45</v>
      </c>
      <c r="U20" s="33" t="s">
        <v>46</v>
      </c>
    </row>
    <row r="21" spans="1:21" s="13" customFormat="1" ht="12.95" customHeight="1" x14ac:dyDescent="0.2">
      <c r="A21" s="13" t="str">
        <f>D7</f>
        <v>BRNO</v>
      </c>
      <c r="C21" s="21">
        <f>C$7</f>
        <v>47777.868000000002</v>
      </c>
      <c r="D21" s="21" t="s">
        <v>19</v>
      </c>
      <c r="E21" s="13">
        <f t="shared" ref="E21:E28" si="0">+(C21-C$7)/C$8</f>
        <v>0</v>
      </c>
      <c r="F21" s="13">
        <f>ROUND(2*E21,0)/2</f>
        <v>0</v>
      </c>
      <c r="G21" s="13">
        <f t="shared" ref="G21:G28" si="1">+C21-(C$7+F21*C$8)</f>
        <v>0</v>
      </c>
      <c r="I21" s="13">
        <f>+G21</f>
        <v>0</v>
      </c>
      <c r="O21" s="13">
        <f t="shared" ref="O21:O28" ca="1" si="2">+C$11+C$12*$F21</f>
        <v>4.1373865368066198E-3</v>
      </c>
      <c r="Q21" s="34">
        <f t="shared" ref="Q21:Q28" si="3">+C21-15018.5</f>
        <v>32759.368000000002</v>
      </c>
    </row>
    <row r="22" spans="1:21" s="13" customFormat="1" ht="12.95" customHeight="1" x14ac:dyDescent="0.2">
      <c r="A22" s="4" t="s">
        <v>47</v>
      </c>
      <c r="B22" s="5" t="s">
        <v>48</v>
      </c>
      <c r="C22" s="4">
        <v>54357.535230000001</v>
      </c>
      <c r="D22" s="4">
        <v>1.4E-3</v>
      </c>
      <c r="E22" s="13">
        <f t="shared" si="0"/>
        <v>14373.931687602402</v>
      </c>
      <c r="F22" s="35">
        <f t="shared" ref="F22:F28" si="4">ROUND(2*E22,0)/2-1</f>
        <v>14373</v>
      </c>
      <c r="G22" s="13">
        <f t="shared" si="1"/>
        <v>0.42648000000190223</v>
      </c>
      <c r="K22" s="13">
        <f t="shared" ref="K22:K29" si="5">+G22</f>
        <v>0.42648000000190223</v>
      </c>
      <c r="O22" s="13">
        <f t="shared" ca="1" si="2"/>
        <v>0.42620050524651387</v>
      </c>
      <c r="Q22" s="34">
        <f t="shared" si="3"/>
        <v>39339.035230000001</v>
      </c>
    </row>
    <row r="23" spans="1:21" s="13" customFormat="1" ht="12.95" customHeight="1" x14ac:dyDescent="0.2">
      <c r="A23" s="4" t="s">
        <v>49</v>
      </c>
      <c r="B23" s="5" t="s">
        <v>48</v>
      </c>
      <c r="C23" s="4">
        <v>55105.545610000001</v>
      </c>
      <c r="D23" s="4">
        <v>3.2000000000000002E-3</v>
      </c>
      <c r="E23" s="13">
        <f t="shared" si="0"/>
        <v>16008.034101583831</v>
      </c>
      <c r="F23" s="35">
        <f t="shared" si="4"/>
        <v>16007</v>
      </c>
      <c r="G23" s="13">
        <f t="shared" si="1"/>
        <v>0.47335999999631895</v>
      </c>
      <c r="K23" s="13">
        <f t="shared" si="5"/>
        <v>0.47335999999631895</v>
      </c>
      <c r="O23" s="13">
        <f t="shared" ca="1" si="2"/>
        <v>0.47418291225769188</v>
      </c>
      <c r="Q23" s="34">
        <f t="shared" si="3"/>
        <v>40087.045610000001</v>
      </c>
    </row>
    <row r="24" spans="1:21" s="13" customFormat="1" ht="12.95" customHeight="1" x14ac:dyDescent="0.2">
      <c r="A24" s="4" t="s">
        <v>49</v>
      </c>
      <c r="B24" s="5" t="s">
        <v>48</v>
      </c>
      <c r="C24" s="4">
        <v>55105.547709999999</v>
      </c>
      <c r="D24" s="4">
        <v>3.2000000000000002E-3</v>
      </c>
      <c r="E24" s="13">
        <f t="shared" si="0"/>
        <v>16008.038689240846</v>
      </c>
      <c r="F24" s="35">
        <f t="shared" si="4"/>
        <v>16007</v>
      </c>
      <c r="G24" s="13">
        <f t="shared" si="1"/>
        <v>0.47545999999420019</v>
      </c>
      <c r="K24" s="13">
        <f t="shared" si="5"/>
        <v>0.47545999999420019</v>
      </c>
      <c r="O24" s="13">
        <f t="shared" ca="1" si="2"/>
        <v>0.47418291225769188</v>
      </c>
      <c r="Q24" s="34">
        <f t="shared" si="3"/>
        <v>40087.047709999999</v>
      </c>
    </row>
    <row r="25" spans="1:21" s="13" customFormat="1" ht="12.95" customHeight="1" x14ac:dyDescent="0.2">
      <c r="A25" s="4" t="s">
        <v>49</v>
      </c>
      <c r="B25" s="5" t="s">
        <v>48</v>
      </c>
      <c r="C25" s="4">
        <v>55105.558810000002</v>
      </c>
      <c r="D25" s="4">
        <v>3.2000000000000002E-3</v>
      </c>
      <c r="E25" s="13">
        <f t="shared" si="0"/>
        <v>16008.062938285091</v>
      </c>
      <c r="F25" s="35">
        <f t="shared" si="4"/>
        <v>16007</v>
      </c>
      <c r="G25" s="13">
        <f t="shared" si="1"/>
        <v>0.48655999999755295</v>
      </c>
      <c r="K25" s="13">
        <f t="shared" si="5"/>
        <v>0.48655999999755295</v>
      </c>
      <c r="O25" s="13">
        <f t="shared" ca="1" si="2"/>
        <v>0.47418291225769188</v>
      </c>
      <c r="Q25" s="34">
        <f t="shared" si="3"/>
        <v>40087.058810000002</v>
      </c>
    </row>
    <row r="26" spans="1:21" s="13" customFormat="1" ht="12.95" customHeight="1" x14ac:dyDescent="0.2">
      <c r="A26" s="36" t="s">
        <v>50</v>
      </c>
      <c r="B26" s="5" t="s">
        <v>51</v>
      </c>
      <c r="C26" s="4">
        <v>55748.496310000002</v>
      </c>
      <c r="D26" s="4">
        <v>4.0000000000000002E-4</v>
      </c>
      <c r="E26" s="13">
        <f t="shared" si="0"/>
        <v>17412.623287820865</v>
      </c>
      <c r="F26" s="35">
        <f t="shared" si="4"/>
        <v>17411.5</v>
      </c>
      <c r="G26" s="13">
        <f t="shared" si="1"/>
        <v>0.51418499999999767</v>
      </c>
      <c r="K26" s="13">
        <f t="shared" si="5"/>
        <v>0.51418499999999767</v>
      </c>
      <c r="O26" s="13">
        <f t="shared" ca="1" si="2"/>
        <v>0.51542605218865856</v>
      </c>
      <c r="Q26" s="34">
        <f t="shared" si="3"/>
        <v>40729.996310000002</v>
      </c>
    </row>
    <row r="27" spans="1:21" s="13" customFormat="1" ht="12.95" customHeight="1" x14ac:dyDescent="0.2">
      <c r="A27" s="36" t="s">
        <v>50</v>
      </c>
      <c r="B27" s="5" t="s">
        <v>51</v>
      </c>
      <c r="C27" s="4">
        <v>55754.454279999998</v>
      </c>
      <c r="D27" s="4">
        <v>6.4999999999999997E-3</v>
      </c>
      <c r="E27" s="13">
        <f t="shared" si="0"/>
        <v>17425.639060622601</v>
      </c>
      <c r="F27" s="35">
        <f t="shared" si="4"/>
        <v>17424.5</v>
      </c>
      <c r="G27" s="13">
        <f t="shared" si="1"/>
        <v>0.52140499999950407</v>
      </c>
      <c r="K27" s="13">
        <f t="shared" si="5"/>
        <v>0.52140499999950407</v>
      </c>
      <c r="O27" s="13">
        <f t="shared" ca="1" si="2"/>
        <v>0.51580779716487968</v>
      </c>
      <c r="Q27" s="34">
        <f t="shared" si="3"/>
        <v>40735.954279999998</v>
      </c>
    </row>
    <row r="28" spans="1:21" s="13" customFormat="1" ht="12.95" customHeight="1" x14ac:dyDescent="0.2">
      <c r="A28" s="36" t="s">
        <v>50</v>
      </c>
      <c r="B28" s="5" t="s">
        <v>51</v>
      </c>
      <c r="C28" s="4">
        <v>55803.429369999998</v>
      </c>
      <c r="D28" s="4">
        <v>2.0000000000000001E-4</v>
      </c>
      <c r="E28" s="13">
        <f t="shared" si="0"/>
        <v>17532.62997269251</v>
      </c>
      <c r="F28" s="35">
        <f t="shared" si="4"/>
        <v>17531.5</v>
      </c>
      <c r="G28" s="13">
        <f t="shared" si="1"/>
        <v>0.51724499999545515</v>
      </c>
      <c r="K28" s="13">
        <f t="shared" si="5"/>
        <v>0.51724499999545515</v>
      </c>
      <c r="O28" s="13">
        <f t="shared" ca="1" si="2"/>
        <v>0.51894985196916121</v>
      </c>
      <c r="Q28" s="34">
        <f t="shared" si="3"/>
        <v>40784.929369999998</v>
      </c>
    </row>
    <row r="29" spans="1:21" s="13" customFormat="1" ht="12.95" customHeight="1" x14ac:dyDescent="0.2">
      <c r="A29" s="37" t="s">
        <v>52</v>
      </c>
      <c r="B29" s="38" t="s">
        <v>48</v>
      </c>
      <c r="C29" s="39">
        <v>57275.418389999999</v>
      </c>
      <c r="D29" s="39">
        <v>1E-3</v>
      </c>
      <c r="E29" s="13">
        <f>+(C29-C$7)/C$8</f>
        <v>20748.335095576182</v>
      </c>
      <c r="F29" s="40">
        <f>ROUND(2*E29,0)/2-1.5</f>
        <v>20747</v>
      </c>
      <c r="G29" s="13">
        <f>+C29-(C$7+F29*C$8)</f>
        <v>0.61114000000088708</v>
      </c>
      <c r="K29" s="13">
        <f t="shared" si="5"/>
        <v>0.61114000000088708</v>
      </c>
      <c r="O29" s="13">
        <f ca="1">+C$11+C$12*$F29</f>
        <v>0.61337300358754732</v>
      </c>
      <c r="Q29" s="34">
        <f>+C29-15018.5</f>
        <v>42256.918389999999</v>
      </c>
    </row>
    <row r="30" spans="1:21" s="13" customFormat="1" ht="12.95" customHeight="1" x14ac:dyDescent="0.2">
      <c r="A30" s="8" t="s">
        <v>53</v>
      </c>
      <c r="B30" s="9" t="s">
        <v>48</v>
      </c>
      <c r="C30" s="8">
        <v>57326.691299999999</v>
      </c>
      <c r="D30" s="8">
        <v>2.0000000000000001E-4</v>
      </c>
      <c r="E30" s="13">
        <f>+(C30-C$7)/C$8</f>
        <v>20860.345821955209</v>
      </c>
      <c r="F30" s="40">
        <f>ROUND(2*E30,0)/2-1.5</f>
        <v>20859</v>
      </c>
      <c r="G30" s="13">
        <f>+C30-(C$7+F30*C$8)</f>
        <v>0.61604999999690335</v>
      </c>
      <c r="K30" s="13">
        <f>+G30</f>
        <v>0.61604999999690335</v>
      </c>
      <c r="O30" s="13">
        <f ca="1">+C$11+C$12*$F30</f>
        <v>0.61666188338268313</v>
      </c>
      <c r="Q30" s="34">
        <f>+C30-15018.5</f>
        <v>42308.191299999999</v>
      </c>
    </row>
    <row r="31" spans="1:21" s="13" customFormat="1" ht="12.95" customHeight="1" x14ac:dyDescent="0.2">
      <c r="A31" s="8" t="s">
        <v>53</v>
      </c>
      <c r="B31" s="9" t="s">
        <v>48</v>
      </c>
      <c r="C31" s="8">
        <v>57337.677900000002</v>
      </c>
      <c r="D31" s="8">
        <v>2.0000000000000001E-4</v>
      </c>
      <c r="E31" s="13">
        <f>+(C31-C$7)/C$8</f>
        <v>20884.347132714363</v>
      </c>
      <c r="F31" s="40">
        <f>ROUND(2*E31,0)/2-1.5</f>
        <v>20883</v>
      </c>
      <c r="G31" s="13">
        <f>+C31-(C$7+F31*C$8)</f>
        <v>0.61665000000357395</v>
      </c>
      <c r="K31" s="13">
        <f>+G31</f>
        <v>0.61665000000357395</v>
      </c>
      <c r="O31" s="13">
        <f ca="1">+C$11+C$12*$F31</f>
        <v>0.61736664333878366</v>
      </c>
      <c r="Q31" s="34">
        <f>+C31-15018.5</f>
        <v>42319.177900000002</v>
      </c>
    </row>
    <row r="32" spans="1:21" x14ac:dyDescent="0.2">
      <c r="A32" s="7" t="s">
        <v>54</v>
      </c>
      <c r="B32" s="6" t="s">
        <v>48</v>
      </c>
      <c r="C32" s="7">
        <v>58372.7166</v>
      </c>
      <c r="D32" s="7">
        <v>2.9999999999999997E-4</v>
      </c>
      <c r="E32" s="1">
        <f>+(C32-C$7)/C$8</f>
        <v>23145.491206990711</v>
      </c>
      <c r="F32" s="42">
        <f>ROUND(2*E32,0)/2-1.5</f>
        <v>23144</v>
      </c>
      <c r="G32" s="1">
        <f>+C32-(C$7+F32*C$8)</f>
        <v>0.68260000000009313</v>
      </c>
      <c r="K32" s="1">
        <f>+G32</f>
        <v>0.68260000000009313</v>
      </c>
      <c r="O32" s="1">
        <f ca="1">+C$11+C$12*$F32</f>
        <v>0.68376090420308822</v>
      </c>
      <c r="Q32" s="3">
        <f>+C32-15018.5</f>
        <v>43354.2166</v>
      </c>
    </row>
    <row r="33" spans="1:17" x14ac:dyDescent="0.2">
      <c r="A33" s="10" t="s">
        <v>55</v>
      </c>
      <c r="B33" s="11" t="s">
        <v>48</v>
      </c>
      <c r="C33" s="12">
        <v>58025.714099999997</v>
      </c>
      <c r="D33" s="12">
        <v>2.9999999999999997E-4</v>
      </c>
      <c r="E33" s="1">
        <f>+(C33-C$7)/C$8</f>
        <v>22387.430038230465</v>
      </c>
      <c r="F33" s="42">
        <f>ROUND(2*E33,0)/2-1.5</f>
        <v>22386</v>
      </c>
      <c r="G33" s="1">
        <f>+C33-(C$7+F33*C$8)</f>
        <v>0.65459999999438878</v>
      </c>
      <c r="K33" s="1">
        <f>+G33</f>
        <v>0.65459999999438878</v>
      </c>
      <c r="O33" s="1">
        <f ca="1">+C$11+C$12*$F33</f>
        <v>0.66150223558957966</v>
      </c>
      <c r="Q33" s="3">
        <f>+C33-15018.5</f>
        <v>43007.214099999997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2024-03-02T05:21:07Z</dcterms:created>
  <dcterms:modified xsi:type="dcterms:W3CDTF">2024-03-02T05:21:07Z</dcterms:modified>
</cp:coreProperties>
</file>