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79C3047-AE7A-4B87-9D8E-FAEDFE7C971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2" i="1" l="1"/>
  <c r="Q25" i="1"/>
  <c r="Q27" i="1"/>
  <c r="Q34" i="1"/>
  <c r="Q37" i="1"/>
  <c r="Q38" i="1"/>
  <c r="Q39" i="1"/>
  <c r="G20" i="2"/>
  <c r="C20" i="2"/>
  <c r="G19" i="2"/>
  <c r="C19" i="2"/>
  <c r="G27" i="2"/>
  <c r="C27" i="2"/>
  <c r="G26" i="2"/>
  <c r="C26" i="2"/>
  <c r="G25" i="2"/>
  <c r="C25" i="2"/>
  <c r="G18" i="2"/>
  <c r="C18" i="2"/>
  <c r="G17" i="2"/>
  <c r="C17" i="2"/>
  <c r="G24" i="2"/>
  <c r="C24" i="2"/>
  <c r="G16" i="2"/>
  <c r="C16" i="2"/>
  <c r="G15" i="2"/>
  <c r="C15" i="2"/>
  <c r="G14" i="2"/>
  <c r="C14" i="2"/>
  <c r="G13" i="2"/>
  <c r="C13" i="2"/>
  <c r="G23" i="2"/>
  <c r="C23" i="2"/>
  <c r="G22" i="2"/>
  <c r="C22" i="2"/>
  <c r="G12" i="2"/>
  <c r="C12" i="2"/>
  <c r="G21" i="2"/>
  <c r="C21" i="2"/>
  <c r="G11" i="2"/>
  <c r="C11" i="2"/>
  <c r="H20" i="2"/>
  <c r="B20" i="2"/>
  <c r="D20" i="2"/>
  <c r="A20" i="2"/>
  <c r="H19" i="2"/>
  <c r="B19" i="2"/>
  <c r="D19" i="2"/>
  <c r="A19" i="2"/>
  <c r="H27" i="2"/>
  <c r="B27" i="2"/>
  <c r="D27" i="2"/>
  <c r="A27" i="2"/>
  <c r="H26" i="2"/>
  <c r="B26" i="2"/>
  <c r="D26" i="2"/>
  <c r="A26" i="2"/>
  <c r="H25" i="2"/>
  <c r="B25" i="2"/>
  <c r="D25" i="2"/>
  <c r="A25" i="2"/>
  <c r="H18" i="2"/>
  <c r="B18" i="2"/>
  <c r="D18" i="2"/>
  <c r="A18" i="2"/>
  <c r="H17" i="2"/>
  <c r="B17" i="2"/>
  <c r="D17" i="2"/>
  <c r="A17" i="2"/>
  <c r="H24" i="2"/>
  <c r="B24" i="2"/>
  <c r="D24" i="2"/>
  <c r="A24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23" i="2"/>
  <c r="B23" i="2"/>
  <c r="D23" i="2"/>
  <c r="A23" i="2"/>
  <c r="H22" i="2"/>
  <c r="B22" i="2"/>
  <c r="D22" i="2"/>
  <c r="A22" i="2"/>
  <c r="H12" i="2"/>
  <c r="B12" i="2"/>
  <c r="D12" i="2"/>
  <c r="A12" i="2"/>
  <c r="H21" i="2"/>
  <c r="B21" i="2"/>
  <c r="D21" i="2"/>
  <c r="A21" i="2"/>
  <c r="H11" i="2"/>
  <c r="B11" i="2"/>
  <c r="D11" i="2"/>
  <c r="A11" i="2"/>
  <c r="F11" i="1"/>
  <c r="Q41" i="1"/>
  <c r="Q21" i="1"/>
  <c r="Q23" i="1"/>
  <c r="Q24" i="1"/>
  <c r="Q26" i="1"/>
  <c r="Q28" i="1"/>
  <c r="Q29" i="1"/>
  <c r="Q30" i="1"/>
  <c r="Q31" i="1"/>
  <c r="Q40" i="1"/>
  <c r="G11" i="1"/>
  <c r="E14" i="1"/>
  <c r="E15" i="1" s="1"/>
  <c r="C17" i="1"/>
  <c r="Q33" i="1"/>
  <c r="Q35" i="1"/>
  <c r="Q36" i="1"/>
  <c r="D4" i="1"/>
  <c r="C4" i="1"/>
  <c r="B2" i="1"/>
  <c r="C7" i="1"/>
  <c r="E22" i="1"/>
  <c r="F22" i="1"/>
  <c r="C8" i="1"/>
  <c r="Q32" i="1"/>
  <c r="E18" i="2"/>
  <c r="E21" i="2"/>
  <c r="E15" i="2"/>
  <c r="E25" i="2"/>
  <c r="E11" i="2"/>
  <c r="E22" i="2"/>
  <c r="E19" i="2"/>
  <c r="E36" i="1"/>
  <c r="F36" i="1"/>
  <c r="E26" i="1"/>
  <c r="F26" i="1"/>
  <c r="G37" i="1"/>
  <c r="K37" i="1"/>
  <c r="E27" i="1"/>
  <c r="F27" i="1"/>
  <c r="G27" i="1"/>
  <c r="K27" i="1"/>
  <c r="G35" i="1"/>
  <c r="I35" i="1"/>
  <c r="E32" i="1"/>
  <c r="F32" i="1"/>
  <c r="E21" i="1"/>
  <c r="F21" i="1"/>
  <c r="G21" i="1"/>
  <c r="E41" i="1"/>
  <c r="F41" i="1"/>
  <c r="G41" i="1"/>
  <c r="I41" i="1"/>
  <c r="G31" i="1"/>
  <c r="I31" i="1"/>
  <c r="E29" i="1"/>
  <c r="F29" i="1"/>
  <c r="G29" i="1"/>
  <c r="I29" i="1"/>
  <c r="G39" i="1"/>
  <c r="K39" i="1"/>
  <c r="E37" i="1"/>
  <c r="F37" i="1"/>
  <c r="E35" i="1"/>
  <c r="F35" i="1"/>
  <c r="G28" i="1"/>
  <c r="I28" i="1"/>
  <c r="E24" i="1"/>
  <c r="F24" i="1"/>
  <c r="G24" i="1"/>
  <c r="I24" i="1"/>
  <c r="E25" i="1"/>
  <c r="F25" i="1"/>
  <c r="G25" i="1"/>
  <c r="K25" i="1"/>
  <c r="G33" i="1"/>
  <c r="I33" i="1"/>
  <c r="E31" i="1"/>
  <c r="F31" i="1"/>
  <c r="E39" i="1"/>
  <c r="F39" i="1"/>
  <c r="E40" i="1"/>
  <c r="F40" i="1"/>
  <c r="G40" i="1"/>
  <c r="I40" i="1"/>
  <c r="G30" i="1"/>
  <c r="I30" i="1"/>
  <c r="E28" i="1"/>
  <c r="F28" i="1"/>
  <c r="G38" i="1"/>
  <c r="K38" i="1"/>
  <c r="E34" i="1"/>
  <c r="F34" i="1"/>
  <c r="G34" i="1"/>
  <c r="K34" i="1"/>
  <c r="G22" i="1"/>
  <c r="K22" i="1"/>
  <c r="G36" i="1"/>
  <c r="I36" i="1"/>
  <c r="E33" i="1"/>
  <c r="F33" i="1"/>
  <c r="G26" i="1"/>
  <c r="I26" i="1"/>
  <c r="E23" i="1"/>
  <c r="F23" i="1"/>
  <c r="G23" i="1"/>
  <c r="I23" i="1"/>
  <c r="G32" i="1"/>
  <c r="H32" i="1"/>
  <c r="E30" i="1"/>
  <c r="F30" i="1"/>
  <c r="E38" i="1"/>
  <c r="F38" i="1"/>
  <c r="I21" i="1"/>
  <c r="E27" i="2"/>
  <c r="E14" i="2"/>
  <c r="E24" i="2"/>
  <c r="E26" i="2"/>
  <c r="E13" i="2"/>
  <c r="E16" i="2"/>
  <c r="E23" i="2"/>
  <c r="E12" i="2"/>
  <c r="E20" i="2"/>
  <c r="E17" i="2"/>
  <c r="C11" i="1"/>
  <c r="C12" i="1" l="1"/>
  <c r="C16" i="1" l="1"/>
  <c r="D18" i="1" s="1"/>
  <c r="O34" i="1"/>
  <c r="O29" i="1"/>
  <c r="O40" i="1"/>
  <c r="O30" i="1"/>
  <c r="O21" i="1"/>
  <c r="O26" i="1"/>
  <c r="C15" i="1"/>
  <c r="O35" i="1"/>
  <c r="O32" i="1"/>
  <c r="O37" i="1"/>
  <c r="O24" i="1"/>
  <c r="O25" i="1"/>
  <c r="O27" i="1"/>
  <c r="O33" i="1"/>
  <c r="O36" i="1"/>
  <c r="O22" i="1"/>
  <c r="O41" i="1"/>
  <c r="O23" i="1"/>
  <c r="O28" i="1"/>
  <c r="O31" i="1"/>
  <c r="O39" i="1"/>
  <c r="O38" i="1"/>
  <c r="C18" i="1" l="1"/>
  <c r="E16" i="1"/>
  <c r="E17" i="1" s="1"/>
</calcChain>
</file>

<file path=xl/sharedStrings.xml><?xml version="1.0" encoding="utf-8"?>
<sst xmlns="http://schemas.openxmlformats.org/spreadsheetml/2006/main" count="239" uniqueCount="137">
  <si>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</si>
  <si>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</si>
  <si>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</si>
  <si>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</si>
  <si>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</si>
  <si>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</si>
  <si>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</si>
  <si>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</si>
  <si>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</si>
  <si>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</si>
  <si>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</si>
  <si>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</si>
  <si>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</si>
  <si>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</si>
  <si>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</si>
  <si>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</si>
  <si>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</si>
  <si>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</si>
  <si>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</si>
  <si>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</si>
  <si>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</si>
  <si>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</si>
  <si>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</si>
  <si>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</si>
  <si>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</si>
  <si>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</si>
  <si>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</si>
  <si>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</si>
  <si>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</si>
  <si>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</si>
  <si>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</si>
  <si>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</si>
  <si>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</si>
  <si>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</si>
  <si>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</si>
  <si>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</si>
  <si>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</si>
  <si>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</si>
  <si>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</si>
  <si>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V0396 Peg / GSC 1172-1452               </t>
  </si>
  <si>
    <t xml:space="preserve">EW        </t>
  </si>
  <si>
    <t>IBVS 5761</t>
  </si>
  <si>
    <t>II</t>
  </si>
  <si>
    <t>IBVS 5643</t>
  </si>
  <si>
    <t>Add cycle</t>
  </si>
  <si>
    <t>Old Cycle</t>
  </si>
  <si>
    <t>IBVS 5960</t>
  </si>
  <si>
    <t>IBVS 5186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</si>
  <si>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</si>
  <si>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</si>
  <si>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</si>
  <si>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</si>
  <si>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</si>
  <si>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</si>
  <si>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</si>
  <si>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</si>
  <si>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</si>
  <si>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</si>
  <si>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</si>
  <si>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</si>
  <si>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2451487.3384 </t>
  </si>
  <si>
    <t> 04.11.1999 20:07 </t>
  </si>
  <si>
    <t> -0.0084 </t>
  </si>
  <si>
    <t>E </t>
  </si>
  <si>
    <t>o</t>
  </si>
  <si>
    <t> W.Moschner </t>
  </si>
  <si>
    <t>BAVM 139 </t>
  </si>
  <si>
    <t>2452123.4785 </t>
  </si>
  <si>
    <t> 01.08.2001 23:29 </t>
  </si>
  <si>
    <t> -0.0055 </t>
  </si>
  <si>
    <t> W.Moschner &amp; P.Frank </t>
  </si>
  <si>
    <t>2452133.5752 </t>
  </si>
  <si>
    <t> 12.08.2001 01:48 </t>
  </si>
  <si>
    <t> -0.0062 </t>
  </si>
  <si>
    <t>2452135.4593 </t>
  </si>
  <si>
    <t> 13.08.2001 23:01 </t>
  </si>
  <si>
    <t> -0.0047 </t>
  </si>
  <si>
    <t>2452136.4861 </t>
  </si>
  <si>
    <t> 14.08.2001 23:39 </t>
  </si>
  <si>
    <t> -0.0048 </t>
  </si>
  <si>
    <t>2452137.5136 </t>
  </si>
  <si>
    <t> 16.08.2001 00:19 </t>
  </si>
  <si>
    <t> -0.0041 </t>
  </si>
  <si>
    <t>2452144.5286 </t>
  </si>
  <si>
    <t> 23.08.2001 00:41 </t>
  </si>
  <si>
    <t> -0.0060 </t>
  </si>
  <si>
    <t>2452176.3612 </t>
  </si>
  <si>
    <t> 23.09.2001 20:40 </t>
  </si>
  <si>
    <t> -0.0059 </t>
  </si>
  <si>
    <t>2452940.3432 </t>
  </si>
  <si>
    <t> 27.10.2003 20:14 </t>
  </si>
  <si>
    <t> H.Jungbluth </t>
  </si>
  <si>
    <t>BAVM 172 </t>
  </si>
  <si>
    <t>2453621.4940 </t>
  </si>
  <si>
    <t> 07.09.2005 23:51 </t>
  </si>
  <si>
    <t> -0.0016 </t>
  </si>
  <si>
    <t>C </t>
  </si>
  <si>
    <t> W.Proksch </t>
  </si>
  <si>
    <t>BAVM 203 </t>
  </si>
  <si>
    <t>2454025.3911 </t>
  </si>
  <si>
    <t> 16.10.2006 21:23 </t>
  </si>
  <si>
    <t> -0.0012 </t>
  </si>
  <si>
    <t>-I</t>
  </si>
  <si>
    <t> F.Agerer </t>
  </si>
  <si>
    <t>BAVM 183 </t>
  </si>
  <si>
    <t>2454025.5654 </t>
  </si>
  <si>
    <t> 17.10.2006 01:34 </t>
  </si>
  <si>
    <t>4456.5</t>
  </si>
  <si>
    <t> 0.0020 </t>
  </si>
  <si>
    <t>2454417.9947 </t>
  </si>
  <si>
    <t> 13.11.2007 11:52 </t>
  </si>
  <si>
    <t>5603</t>
  </si>
  <si>
    <t> 0.0012 </t>
  </si>
  <si>
    <t>Ic</t>
  </si>
  <si>
    <t> K.Nakajima </t>
  </si>
  <si>
    <t>VSB 46 </t>
  </si>
  <si>
    <t>2454704.4853 </t>
  </si>
  <si>
    <t> 25.08.2008 23:38 </t>
  </si>
  <si>
    <t>6440</t>
  </si>
  <si>
    <t> -0.0010 </t>
  </si>
  <si>
    <t>2454763.3610 </t>
  </si>
  <si>
    <t> 23.10.2008 20:39 </t>
  </si>
  <si>
    <t>6612</t>
  </si>
  <si>
    <t> 0.0016 </t>
  </si>
  <si>
    <t>2455501.6666 </t>
  </si>
  <si>
    <t> 01.11.2010 03:59 </t>
  </si>
  <si>
    <t>8769</t>
  </si>
  <si>
    <t> -0.0022 </t>
  </si>
  <si>
    <t> R.Diethelm </t>
  </si>
  <si>
    <t>IBVS 5960 </t>
  </si>
  <si>
    <t>2456133.5284 </t>
  </si>
  <si>
    <t> 25.07.2012 00:40 </t>
  </si>
  <si>
    <t>10615</t>
  </si>
  <si>
    <t> 0.0009 </t>
  </si>
  <si>
    <t>BAVM 234 </t>
  </si>
  <si>
    <t>CCD?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</si>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</sst>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5" fillId="0" borderId="0" xfId="0" applyFont="1">
      <alignment vertical="top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V0396 Peg - O-C Diagr.</a:t>
            </a:r>
          </a:p>
        </c:rich>
      </c:tx>
      <c:layout>
        <c:manualLayout>
          <c:xMode val="edge"/>
          <c:yMode val="edge"/>
          <c:x val="0.374436090225563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1E-3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5">
                    <c:v>5.0000000000000001E-4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5.0000000000000001E-4</c:v>
                  </c:pt>
                  <c:pt idx="12">
                    <c:v>1.8E-3</c:v>
                  </c:pt>
                  <c:pt idx="14">
                    <c:v>5.9999999999999995E-4</c:v>
                  </c:pt>
                  <c:pt idx="15">
                    <c:v>1.6000000000000001E-3</c:v>
                  </c:pt>
                  <c:pt idx="19">
                    <c:v>1.1000000000000001E-3</c:v>
                  </c:pt>
                  <c:pt idx="20">
                    <c:v>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1E-3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5">
                    <c:v>5.0000000000000001E-4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5.0000000000000001E-4</c:v>
                  </c:pt>
                  <c:pt idx="12">
                    <c:v>1.8E-3</c:v>
                  </c:pt>
                  <c:pt idx="14">
                    <c:v>5.9999999999999995E-4</c:v>
                  </c:pt>
                  <c:pt idx="15">
                    <c:v>1.6000000000000001E-3</c:v>
                  </c:pt>
                  <c:pt idx="19">
                    <c:v>1.1000000000000001E-3</c:v>
                  </c:pt>
                  <c:pt idx="2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-2959</c:v>
                </c:pt>
                <c:pt idx="1">
                  <c:v>-1100.5</c:v>
                </c:pt>
                <c:pt idx="2">
                  <c:v>-1100.5</c:v>
                </c:pt>
                <c:pt idx="3">
                  <c:v>-1071</c:v>
                </c:pt>
                <c:pt idx="4">
                  <c:v>-1065.5</c:v>
                </c:pt>
                <c:pt idx="5">
                  <c:v>-1065.5</c:v>
                </c:pt>
                <c:pt idx="6">
                  <c:v>-1062.5</c:v>
                </c:pt>
                <c:pt idx="7">
                  <c:v>-1062.5</c:v>
                </c:pt>
                <c:pt idx="8">
                  <c:v>-1059.5</c:v>
                </c:pt>
                <c:pt idx="9">
                  <c:v>-1039</c:v>
                </c:pt>
                <c:pt idx="10">
                  <c:v>-946</c:v>
                </c:pt>
                <c:pt idx="11">
                  <c:v>0</c:v>
                </c:pt>
                <c:pt idx="12">
                  <c:v>1286</c:v>
                </c:pt>
                <c:pt idx="13">
                  <c:v>3276</c:v>
                </c:pt>
                <c:pt idx="14">
                  <c:v>4456</c:v>
                </c:pt>
                <c:pt idx="15">
                  <c:v>4456.5</c:v>
                </c:pt>
                <c:pt idx="16">
                  <c:v>5603</c:v>
                </c:pt>
                <c:pt idx="17">
                  <c:v>6440</c:v>
                </c:pt>
                <c:pt idx="18">
                  <c:v>6612</c:v>
                </c:pt>
                <c:pt idx="19">
                  <c:v>8769</c:v>
                </c:pt>
                <c:pt idx="20">
                  <c:v>10615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6B-4799-B1E4-64992DF4016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5">
                    <c:v>5.0000000000000001E-4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5.0000000000000001E-4</c:v>
                  </c:pt>
                  <c:pt idx="12">
                    <c:v>1.8E-3</c:v>
                  </c:pt>
                  <c:pt idx="14">
                    <c:v>5.9999999999999995E-4</c:v>
                  </c:pt>
                  <c:pt idx="15">
                    <c:v>1.6000000000000001E-3</c:v>
                  </c:pt>
                  <c:pt idx="19">
                    <c:v>1.1000000000000001E-3</c:v>
                  </c:pt>
                  <c:pt idx="20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5">
                    <c:v>5.0000000000000001E-4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5.0000000000000001E-4</c:v>
                  </c:pt>
                  <c:pt idx="12">
                    <c:v>1.8E-3</c:v>
                  </c:pt>
                  <c:pt idx="14">
                    <c:v>5.9999999999999995E-4</c:v>
                  </c:pt>
                  <c:pt idx="15">
                    <c:v>1.6000000000000001E-3</c:v>
                  </c:pt>
                  <c:pt idx="19">
                    <c:v>1.1000000000000001E-3</c:v>
                  </c:pt>
                  <c:pt idx="2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-2959</c:v>
                </c:pt>
                <c:pt idx="1">
                  <c:v>-1100.5</c:v>
                </c:pt>
                <c:pt idx="2">
                  <c:v>-1100.5</c:v>
                </c:pt>
                <c:pt idx="3">
                  <c:v>-1071</c:v>
                </c:pt>
                <c:pt idx="4">
                  <c:v>-1065.5</c:v>
                </c:pt>
                <c:pt idx="5">
                  <c:v>-1065.5</c:v>
                </c:pt>
                <c:pt idx="6">
                  <c:v>-1062.5</c:v>
                </c:pt>
                <c:pt idx="7">
                  <c:v>-1062.5</c:v>
                </c:pt>
                <c:pt idx="8">
                  <c:v>-1059.5</c:v>
                </c:pt>
                <c:pt idx="9">
                  <c:v>-1039</c:v>
                </c:pt>
                <c:pt idx="10">
                  <c:v>-946</c:v>
                </c:pt>
                <c:pt idx="11">
                  <c:v>0</c:v>
                </c:pt>
                <c:pt idx="12">
                  <c:v>1286</c:v>
                </c:pt>
                <c:pt idx="13">
                  <c:v>3276</c:v>
                </c:pt>
                <c:pt idx="14">
                  <c:v>4456</c:v>
                </c:pt>
                <c:pt idx="15">
                  <c:v>4456.5</c:v>
                </c:pt>
                <c:pt idx="16">
                  <c:v>5603</c:v>
                </c:pt>
                <c:pt idx="17">
                  <c:v>6440</c:v>
                </c:pt>
                <c:pt idx="18">
                  <c:v>6612</c:v>
                </c:pt>
                <c:pt idx="19">
                  <c:v>8769</c:v>
                </c:pt>
                <c:pt idx="20">
                  <c:v>10615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-1.330099992628675E-3</c:v>
                </c:pt>
                <c:pt idx="2">
                  <c:v>1.5305000852094963E-4</c:v>
                </c:pt>
                <c:pt idx="3">
                  <c:v>-6.8689999898197129E-4</c:v>
                </c:pt>
                <c:pt idx="5">
                  <c:v>9.3955000193091109E-4</c:v>
                </c:pt>
                <c:pt idx="7">
                  <c:v>8.8125000183936208E-4</c:v>
                </c:pt>
                <c:pt idx="8">
                  <c:v>1.4229500011424534E-3</c:v>
                </c:pt>
                <c:pt idx="9">
                  <c:v>-4.4209999759914353E-4</c:v>
                </c:pt>
                <c:pt idx="10">
                  <c:v>-4.4939999497728422E-4</c:v>
                </c:pt>
                <c:pt idx="12">
                  <c:v>-1.0245999947073869E-3</c:v>
                </c:pt>
                <c:pt idx="14">
                  <c:v>-6.1599996115546674E-5</c:v>
                </c:pt>
                <c:pt idx="15">
                  <c:v>3.0953500026953407E-3</c:v>
                </c:pt>
                <c:pt idx="19">
                  <c:v>-4.5108999984222464E-3</c:v>
                </c:pt>
                <c:pt idx="20">
                  <c:v>-2.8514999939943664E-3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6B-4799-B1E4-64992DF4016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5">
                    <c:v>5.0000000000000001E-4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5.0000000000000001E-4</c:v>
                  </c:pt>
                  <c:pt idx="12">
                    <c:v>1.8E-3</c:v>
                  </c:pt>
                  <c:pt idx="14">
                    <c:v>5.9999999999999995E-4</c:v>
                  </c:pt>
                  <c:pt idx="15">
                    <c:v>1.6000000000000001E-3</c:v>
                  </c:pt>
                  <c:pt idx="19">
                    <c:v>1.1000000000000001E-3</c:v>
                  </c:pt>
                  <c:pt idx="20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5">
                    <c:v>5.0000000000000001E-4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5.0000000000000001E-4</c:v>
                  </c:pt>
                  <c:pt idx="12">
                    <c:v>1.8E-3</c:v>
                  </c:pt>
                  <c:pt idx="14">
                    <c:v>5.9999999999999995E-4</c:v>
                  </c:pt>
                  <c:pt idx="15">
                    <c:v>1.6000000000000001E-3</c:v>
                  </c:pt>
                  <c:pt idx="19">
                    <c:v>1.1000000000000001E-3</c:v>
                  </c:pt>
                  <c:pt idx="2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-2959</c:v>
                </c:pt>
                <c:pt idx="1">
                  <c:v>-1100.5</c:v>
                </c:pt>
                <c:pt idx="2">
                  <c:v>-1100.5</c:v>
                </c:pt>
                <c:pt idx="3">
                  <c:v>-1071</c:v>
                </c:pt>
                <c:pt idx="4">
                  <c:v>-1065.5</c:v>
                </c:pt>
                <c:pt idx="5">
                  <c:v>-1065.5</c:v>
                </c:pt>
                <c:pt idx="6">
                  <c:v>-1062.5</c:v>
                </c:pt>
                <c:pt idx="7">
                  <c:v>-1062.5</c:v>
                </c:pt>
                <c:pt idx="8">
                  <c:v>-1059.5</c:v>
                </c:pt>
                <c:pt idx="9">
                  <c:v>-1039</c:v>
                </c:pt>
                <c:pt idx="10">
                  <c:v>-946</c:v>
                </c:pt>
                <c:pt idx="11">
                  <c:v>0</c:v>
                </c:pt>
                <c:pt idx="12">
                  <c:v>1286</c:v>
                </c:pt>
                <c:pt idx="13">
                  <c:v>3276</c:v>
                </c:pt>
                <c:pt idx="14">
                  <c:v>4456</c:v>
                </c:pt>
                <c:pt idx="15">
                  <c:v>4456.5</c:v>
                </c:pt>
                <c:pt idx="16">
                  <c:v>5603</c:v>
                </c:pt>
                <c:pt idx="17">
                  <c:v>6440</c:v>
                </c:pt>
                <c:pt idx="18">
                  <c:v>6612</c:v>
                </c:pt>
                <c:pt idx="19">
                  <c:v>8769</c:v>
                </c:pt>
                <c:pt idx="20">
                  <c:v>10615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6B-4799-B1E4-64992DF4016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5">
                    <c:v>5.0000000000000001E-4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5.0000000000000001E-4</c:v>
                  </c:pt>
                  <c:pt idx="12">
                    <c:v>1.8E-3</c:v>
                  </c:pt>
                  <c:pt idx="14">
                    <c:v>5.9999999999999995E-4</c:v>
                  </c:pt>
                  <c:pt idx="15">
                    <c:v>1.6000000000000001E-3</c:v>
                  </c:pt>
                  <c:pt idx="19">
                    <c:v>1.1000000000000001E-3</c:v>
                  </c:pt>
                  <c:pt idx="20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5">
                    <c:v>5.0000000000000001E-4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5.0000000000000001E-4</c:v>
                  </c:pt>
                  <c:pt idx="12">
                    <c:v>1.8E-3</c:v>
                  </c:pt>
                  <c:pt idx="14">
                    <c:v>5.9999999999999995E-4</c:v>
                  </c:pt>
                  <c:pt idx="15">
                    <c:v>1.6000000000000001E-3</c:v>
                  </c:pt>
                  <c:pt idx="19">
                    <c:v>1.1000000000000001E-3</c:v>
                  </c:pt>
                  <c:pt idx="2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-2959</c:v>
                </c:pt>
                <c:pt idx="1">
                  <c:v>-1100.5</c:v>
                </c:pt>
                <c:pt idx="2">
                  <c:v>-1100.5</c:v>
                </c:pt>
                <c:pt idx="3">
                  <c:v>-1071</c:v>
                </c:pt>
                <c:pt idx="4">
                  <c:v>-1065.5</c:v>
                </c:pt>
                <c:pt idx="5">
                  <c:v>-1065.5</c:v>
                </c:pt>
                <c:pt idx="6">
                  <c:v>-1062.5</c:v>
                </c:pt>
                <c:pt idx="7">
                  <c:v>-1062.5</c:v>
                </c:pt>
                <c:pt idx="8">
                  <c:v>-1059.5</c:v>
                </c:pt>
                <c:pt idx="9">
                  <c:v>-1039</c:v>
                </c:pt>
                <c:pt idx="10">
                  <c:v>-946</c:v>
                </c:pt>
                <c:pt idx="11">
                  <c:v>0</c:v>
                </c:pt>
                <c:pt idx="12">
                  <c:v>1286</c:v>
                </c:pt>
                <c:pt idx="13">
                  <c:v>3276</c:v>
                </c:pt>
                <c:pt idx="14">
                  <c:v>4456</c:v>
                </c:pt>
                <c:pt idx="15">
                  <c:v>4456.5</c:v>
                </c:pt>
                <c:pt idx="16">
                  <c:v>5603</c:v>
                </c:pt>
                <c:pt idx="17">
                  <c:v>6440</c:v>
                </c:pt>
                <c:pt idx="18">
                  <c:v>6612</c:v>
                </c:pt>
                <c:pt idx="19">
                  <c:v>8769</c:v>
                </c:pt>
                <c:pt idx="20">
                  <c:v>10615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1">
                  <c:v>5.3050003771204501E-5</c:v>
                </c:pt>
                <c:pt idx="4">
                  <c:v>8.3955000445712358E-4</c:v>
                </c:pt>
                <c:pt idx="6">
                  <c:v>7.8125000436557457E-4</c:v>
                </c:pt>
                <c:pt idx="13">
                  <c:v>4.3640000512823462E-4</c:v>
                </c:pt>
                <c:pt idx="16">
                  <c:v>1.3817000071867369E-3</c:v>
                </c:pt>
                <c:pt idx="17">
                  <c:v>-1.4839999930700287E-3</c:v>
                </c:pt>
                <c:pt idx="18">
                  <c:v>1.0067999974125996E-3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6B-4799-B1E4-64992DF4016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5">
                    <c:v>5.0000000000000001E-4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5.0000000000000001E-4</c:v>
                  </c:pt>
                  <c:pt idx="12">
                    <c:v>1.8E-3</c:v>
                  </c:pt>
                  <c:pt idx="14">
                    <c:v>5.9999999999999995E-4</c:v>
                  </c:pt>
                  <c:pt idx="15">
                    <c:v>1.6000000000000001E-3</c:v>
                  </c:pt>
                  <c:pt idx="19">
                    <c:v>1.1000000000000001E-3</c:v>
                  </c:pt>
                  <c:pt idx="20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5">
                    <c:v>5.0000000000000001E-4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5.0000000000000001E-4</c:v>
                  </c:pt>
                  <c:pt idx="12">
                    <c:v>1.8E-3</c:v>
                  </c:pt>
                  <c:pt idx="14">
                    <c:v>5.9999999999999995E-4</c:v>
                  </c:pt>
                  <c:pt idx="15">
                    <c:v>1.6000000000000001E-3</c:v>
                  </c:pt>
                  <c:pt idx="19">
                    <c:v>1.1000000000000001E-3</c:v>
                  </c:pt>
                  <c:pt idx="2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-2959</c:v>
                </c:pt>
                <c:pt idx="1">
                  <c:v>-1100.5</c:v>
                </c:pt>
                <c:pt idx="2">
                  <c:v>-1100.5</c:v>
                </c:pt>
                <c:pt idx="3">
                  <c:v>-1071</c:v>
                </c:pt>
                <c:pt idx="4">
                  <c:v>-1065.5</c:v>
                </c:pt>
                <c:pt idx="5">
                  <c:v>-1065.5</c:v>
                </c:pt>
                <c:pt idx="6">
                  <c:v>-1062.5</c:v>
                </c:pt>
                <c:pt idx="7">
                  <c:v>-1062.5</c:v>
                </c:pt>
                <c:pt idx="8">
                  <c:v>-1059.5</c:v>
                </c:pt>
                <c:pt idx="9">
                  <c:v>-1039</c:v>
                </c:pt>
                <c:pt idx="10">
                  <c:v>-946</c:v>
                </c:pt>
                <c:pt idx="11">
                  <c:v>0</c:v>
                </c:pt>
                <c:pt idx="12">
                  <c:v>1286</c:v>
                </c:pt>
                <c:pt idx="13">
                  <c:v>3276</c:v>
                </c:pt>
                <c:pt idx="14">
                  <c:v>4456</c:v>
                </c:pt>
                <c:pt idx="15">
                  <c:v>4456.5</c:v>
                </c:pt>
                <c:pt idx="16">
                  <c:v>5603</c:v>
                </c:pt>
                <c:pt idx="17">
                  <c:v>6440</c:v>
                </c:pt>
                <c:pt idx="18">
                  <c:v>6612</c:v>
                </c:pt>
                <c:pt idx="19">
                  <c:v>8769</c:v>
                </c:pt>
                <c:pt idx="20">
                  <c:v>10615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6B-4799-B1E4-64992DF4016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5">
                    <c:v>5.0000000000000001E-4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5.0000000000000001E-4</c:v>
                  </c:pt>
                  <c:pt idx="12">
                    <c:v>1.8E-3</c:v>
                  </c:pt>
                  <c:pt idx="14">
                    <c:v>5.9999999999999995E-4</c:v>
                  </c:pt>
                  <c:pt idx="15">
                    <c:v>1.6000000000000001E-3</c:v>
                  </c:pt>
                  <c:pt idx="19">
                    <c:v>1.1000000000000001E-3</c:v>
                  </c:pt>
                  <c:pt idx="20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5">
                    <c:v>5.0000000000000001E-4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5.0000000000000001E-4</c:v>
                  </c:pt>
                  <c:pt idx="12">
                    <c:v>1.8E-3</c:v>
                  </c:pt>
                  <c:pt idx="14">
                    <c:v>5.9999999999999995E-4</c:v>
                  </c:pt>
                  <c:pt idx="15">
                    <c:v>1.6000000000000001E-3</c:v>
                  </c:pt>
                  <c:pt idx="19">
                    <c:v>1.1000000000000001E-3</c:v>
                  </c:pt>
                  <c:pt idx="2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-2959</c:v>
                </c:pt>
                <c:pt idx="1">
                  <c:v>-1100.5</c:v>
                </c:pt>
                <c:pt idx="2">
                  <c:v>-1100.5</c:v>
                </c:pt>
                <c:pt idx="3">
                  <c:v>-1071</c:v>
                </c:pt>
                <c:pt idx="4">
                  <c:v>-1065.5</c:v>
                </c:pt>
                <c:pt idx="5">
                  <c:v>-1065.5</c:v>
                </c:pt>
                <c:pt idx="6">
                  <c:v>-1062.5</c:v>
                </c:pt>
                <c:pt idx="7">
                  <c:v>-1062.5</c:v>
                </c:pt>
                <c:pt idx="8">
                  <c:v>-1059.5</c:v>
                </c:pt>
                <c:pt idx="9">
                  <c:v>-1039</c:v>
                </c:pt>
                <c:pt idx="10">
                  <c:v>-946</c:v>
                </c:pt>
                <c:pt idx="11">
                  <c:v>0</c:v>
                </c:pt>
                <c:pt idx="12">
                  <c:v>1286</c:v>
                </c:pt>
                <c:pt idx="13">
                  <c:v>3276</c:v>
                </c:pt>
                <c:pt idx="14">
                  <c:v>4456</c:v>
                </c:pt>
                <c:pt idx="15">
                  <c:v>4456.5</c:v>
                </c:pt>
                <c:pt idx="16">
                  <c:v>5603</c:v>
                </c:pt>
                <c:pt idx="17">
                  <c:v>6440</c:v>
                </c:pt>
                <c:pt idx="18">
                  <c:v>6612</c:v>
                </c:pt>
                <c:pt idx="19">
                  <c:v>8769</c:v>
                </c:pt>
                <c:pt idx="20">
                  <c:v>10615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6B-4799-B1E4-64992DF4016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1E-3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5">
                    <c:v>5.0000000000000001E-4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5.0000000000000001E-4</c:v>
                  </c:pt>
                  <c:pt idx="12">
                    <c:v>1.8E-3</c:v>
                  </c:pt>
                  <c:pt idx="14">
                    <c:v>5.9999999999999995E-4</c:v>
                  </c:pt>
                  <c:pt idx="15">
                    <c:v>1.6000000000000001E-3</c:v>
                  </c:pt>
                  <c:pt idx="19">
                    <c:v>1.1000000000000001E-3</c:v>
                  </c:pt>
                  <c:pt idx="20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1E-3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5">
                    <c:v>5.0000000000000001E-4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5.0000000000000001E-4</c:v>
                  </c:pt>
                  <c:pt idx="12">
                    <c:v>1.8E-3</c:v>
                  </c:pt>
                  <c:pt idx="14">
                    <c:v>5.9999999999999995E-4</c:v>
                  </c:pt>
                  <c:pt idx="15">
                    <c:v>1.6000000000000001E-3</c:v>
                  </c:pt>
                  <c:pt idx="19">
                    <c:v>1.1000000000000001E-3</c:v>
                  </c:pt>
                  <c:pt idx="2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-2959</c:v>
                </c:pt>
                <c:pt idx="1">
                  <c:v>-1100.5</c:v>
                </c:pt>
                <c:pt idx="2">
                  <c:v>-1100.5</c:v>
                </c:pt>
                <c:pt idx="3">
                  <c:v>-1071</c:v>
                </c:pt>
                <c:pt idx="4">
                  <c:v>-1065.5</c:v>
                </c:pt>
                <c:pt idx="5">
                  <c:v>-1065.5</c:v>
                </c:pt>
                <c:pt idx="6">
                  <c:v>-1062.5</c:v>
                </c:pt>
                <c:pt idx="7">
                  <c:v>-1062.5</c:v>
                </c:pt>
                <c:pt idx="8">
                  <c:v>-1059.5</c:v>
                </c:pt>
                <c:pt idx="9">
                  <c:v>-1039</c:v>
                </c:pt>
                <c:pt idx="10">
                  <c:v>-946</c:v>
                </c:pt>
                <c:pt idx="11">
                  <c:v>0</c:v>
                </c:pt>
                <c:pt idx="12">
                  <c:v>1286</c:v>
                </c:pt>
                <c:pt idx="13">
                  <c:v>3276</c:v>
                </c:pt>
                <c:pt idx="14">
                  <c:v>4456</c:v>
                </c:pt>
                <c:pt idx="15">
                  <c:v>4456.5</c:v>
                </c:pt>
                <c:pt idx="16">
                  <c:v>5603</c:v>
                </c:pt>
                <c:pt idx="17">
                  <c:v>6440</c:v>
                </c:pt>
                <c:pt idx="18">
                  <c:v>6612</c:v>
                </c:pt>
                <c:pt idx="19">
                  <c:v>8769</c:v>
                </c:pt>
                <c:pt idx="20">
                  <c:v>10615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6B-4799-B1E4-64992DF4016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-2959</c:v>
                </c:pt>
                <c:pt idx="1">
                  <c:v>-1100.5</c:v>
                </c:pt>
                <c:pt idx="2">
                  <c:v>-1100.5</c:v>
                </c:pt>
                <c:pt idx="3">
                  <c:v>-1071</c:v>
                </c:pt>
                <c:pt idx="4">
                  <c:v>-1065.5</c:v>
                </c:pt>
                <c:pt idx="5">
                  <c:v>-1065.5</c:v>
                </c:pt>
                <c:pt idx="6">
                  <c:v>-1062.5</c:v>
                </c:pt>
                <c:pt idx="7">
                  <c:v>-1062.5</c:v>
                </c:pt>
                <c:pt idx="8">
                  <c:v>-1059.5</c:v>
                </c:pt>
                <c:pt idx="9">
                  <c:v>-1039</c:v>
                </c:pt>
                <c:pt idx="10">
                  <c:v>-946</c:v>
                </c:pt>
                <c:pt idx="11">
                  <c:v>0</c:v>
                </c:pt>
                <c:pt idx="12">
                  <c:v>1286</c:v>
                </c:pt>
                <c:pt idx="13">
                  <c:v>3276</c:v>
                </c:pt>
                <c:pt idx="14">
                  <c:v>4456</c:v>
                </c:pt>
                <c:pt idx="15">
                  <c:v>4456.5</c:v>
                </c:pt>
                <c:pt idx="16">
                  <c:v>5603</c:v>
                </c:pt>
                <c:pt idx="17">
                  <c:v>6440</c:v>
                </c:pt>
                <c:pt idx="18">
                  <c:v>6612</c:v>
                </c:pt>
                <c:pt idx="19">
                  <c:v>8769</c:v>
                </c:pt>
                <c:pt idx="20">
                  <c:v>10615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6.4888804867869597E-4</c:v>
                </c:pt>
                <c:pt idx="1">
                  <c:v>3.6159843148570679E-4</c:v>
                </c:pt>
                <c:pt idx="2">
                  <c:v>3.6159843148570679E-4</c:v>
                </c:pt>
                <c:pt idx="3">
                  <c:v>3.5703827883184981E-4</c:v>
                </c:pt>
                <c:pt idx="4">
                  <c:v>3.5618808087943581E-4</c:v>
                </c:pt>
                <c:pt idx="5">
                  <c:v>3.5618808087943581E-4</c:v>
                </c:pt>
                <c:pt idx="6">
                  <c:v>3.5572433654175543E-4</c:v>
                </c:pt>
                <c:pt idx="7">
                  <c:v>3.5572433654175543E-4</c:v>
                </c:pt>
                <c:pt idx="8">
                  <c:v>3.552605922040751E-4</c:v>
                </c:pt>
                <c:pt idx="9">
                  <c:v>3.5209167256325922E-4</c:v>
                </c:pt>
                <c:pt idx="10">
                  <c:v>3.3771559809516773E-4</c:v>
                </c:pt>
                <c:pt idx="11">
                  <c:v>1.9148155027995774E-4</c:v>
                </c:pt>
                <c:pt idx="12">
                  <c:v>-7.3101891390275019E-6</c:v>
                </c:pt>
                <c:pt idx="13">
                  <c:v>-3.1492726646700623E-4</c:v>
                </c:pt>
                <c:pt idx="14">
                  <c:v>-4.9733337262128515E-4</c:v>
                </c:pt>
                <c:pt idx="15">
                  <c:v>-4.9741066334423186E-4</c:v>
                </c:pt>
                <c:pt idx="16">
                  <c:v>-6.7463829106107983E-4</c:v>
                </c:pt>
                <c:pt idx="17">
                  <c:v>-8.0402296127390308E-4</c:v>
                </c:pt>
                <c:pt idx="18">
                  <c:v>-8.3061096996757768E-4</c:v>
                </c:pt>
                <c:pt idx="19">
                  <c:v>-1.1640431487597636E-3</c:v>
                </c:pt>
                <c:pt idx="20">
                  <c:v>-1.4494004978790845E-3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6B-4799-B1E4-64992DF40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929168"/>
        <c:axId val="1"/>
      </c:scatterChart>
      <c:valAx>
        <c:axId val="880929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0929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FB5C825-1C7D-27C3-969A-2C8F2B463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39" TargetMode="External"/><Relationship Id="rId13" Type="http://schemas.openxmlformats.org/officeDocument/2006/relationships/hyperlink" Target="http://vsolj.cetus-net.org/no46.pdf" TargetMode="External"/><Relationship Id="rId3" Type="http://schemas.openxmlformats.org/officeDocument/2006/relationships/hyperlink" Target="http://www.bav-astro.de/sfs/BAVM_link.php?BAVMnr=139" TargetMode="External"/><Relationship Id="rId7" Type="http://schemas.openxmlformats.org/officeDocument/2006/relationships/hyperlink" Target="http://www.bav-astro.de/sfs/BAVM_link.php?BAVMnr=139" TargetMode="External"/><Relationship Id="rId12" Type="http://schemas.openxmlformats.org/officeDocument/2006/relationships/hyperlink" Target="http://www.bav-astro.de/sfs/BAVM_link.php?BAVMnr=183" TargetMode="External"/><Relationship Id="rId17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www.bav-astro.de/sfs/BAVM_link.php?BAVMnr=139" TargetMode="External"/><Relationship Id="rId16" Type="http://schemas.openxmlformats.org/officeDocument/2006/relationships/hyperlink" Target="http://www.konkoly.hu/cgi-bin/IBVS?5960" TargetMode="External"/><Relationship Id="rId1" Type="http://schemas.openxmlformats.org/officeDocument/2006/relationships/hyperlink" Target="http://www.bav-astro.de/sfs/BAVM_link.php?BAVMnr=139" TargetMode="External"/><Relationship Id="rId6" Type="http://schemas.openxmlformats.org/officeDocument/2006/relationships/hyperlink" Target="http://www.bav-astro.de/sfs/BAVM_link.php?BAVMnr=139" TargetMode="External"/><Relationship Id="rId11" Type="http://schemas.openxmlformats.org/officeDocument/2006/relationships/hyperlink" Target="http://www.bav-astro.de/sfs/BAVM_link.php?BAVMnr=183" TargetMode="External"/><Relationship Id="rId5" Type="http://schemas.openxmlformats.org/officeDocument/2006/relationships/hyperlink" Target="http://www.bav-astro.de/sfs/BAVM_link.php?BAVMnr=139" TargetMode="External"/><Relationship Id="rId15" Type="http://schemas.openxmlformats.org/officeDocument/2006/relationships/hyperlink" Target="http://www.bav-astro.de/sfs/BAVM_link.php?BAVMnr=203" TargetMode="External"/><Relationship Id="rId10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www.bav-astro.de/sfs/BAVM_link.php?BAVMnr=139" TargetMode="External"/><Relationship Id="rId9" Type="http://schemas.openxmlformats.org/officeDocument/2006/relationships/hyperlink" Target="http://www.bav-astro.de/sfs/BAVM_link.php?BAVMnr=172" TargetMode="External"/><Relationship Id="rId14" Type="http://schemas.openxmlformats.org/officeDocument/2006/relationships/hyperlink" Target="http://www.bav-astro.de/sfs/BAVM_link.php?BAVMnr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3" sqref="E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39</v>
      </c>
      <c r="F1" s="3">
        <v>52500.164299999997</v>
      </c>
      <c r="G1" s="3">
        <v>0.34228609999999998</v>
      </c>
      <c r="H1" s="3" t="s">
        <v>40</v>
      </c>
    </row>
    <row r="2" spans="1:8" s="34" customFormat="1" ht="12.95" customHeight="1" x14ac:dyDescent="0.2">
      <c r="A2" s="34" t="s">
        <v>23</v>
      </c>
      <c r="B2" s="34" t="str">
        <f>H1</f>
        <v xml:space="preserve">EW        </v>
      </c>
      <c r="C2" s="35"/>
      <c r="D2" s="35"/>
    </row>
    <row r="3" spans="1:8" s="34" customFormat="1" ht="12.95" customHeight="1" thickBot="1" x14ac:dyDescent="0.25"/>
    <row r="4" spans="1:8" s="34" customFormat="1" ht="12.95" customHeight="1" thickTop="1" thickBot="1" x14ac:dyDescent="0.25">
      <c r="A4" s="36" t="s">
        <v>38</v>
      </c>
      <c r="C4" s="37">
        <f>F1</f>
        <v>52500.164299999997</v>
      </c>
      <c r="D4" s="38">
        <f>G1</f>
        <v>0.34228609999999998</v>
      </c>
    </row>
    <row r="5" spans="1:8" s="34" customFormat="1" ht="12.95" customHeight="1" x14ac:dyDescent="0.2">
      <c r="C5" s="39" t="s">
        <v>36</v>
      </c>
    </row>
    <row r="6" spans="1:8" s="34" customFormat="1" ht="12.95" customHeight="1" x14ac:dyDescent="0.2">
      <c r="A6" s="36" t="s">
        <v>0</v>
      </c>
    </row>
    <row r="7" spans="1:8" s="34" customFormat="1" ht="12.95" customHeight="1" x14ac:dyDescent="0.2">
      <c r="A7" s="34" t="s">
        <v>1</v>
      </c>
      <c r="C7" s="34">
        <f>C4</f>
        <v>52500.164299999997</v>
      </c>
    </row>
    <row r="8" spans="1:8" s="34" customFormat="1" ht="12.95" customHeight="1" x14ac:dyDescent="0.2">
      <c r="A8" s="34" t="s">
        <v>2</v>
      </c>
      <c r="C8" s="34">
        <f>D4</f>
        <v>0.34228609999999998</v>
      </c>
      <c r="D8" s="40"/>
    </row>
    <row r="9" spans="1:8" s="34" customFormat="1" ht="12.95" customHeight="1" x14ac:dyDescent="0.2">
      <c r="A9" s="41" t="s">
        <v>28</v>
      </c>
      <c r="C9" s="40">
        <v>-9.5</v>
      </c>
      <c r="D9" s="34" t="s">
        <v>29</v>
      </c>
    </row>
    <row r="10" spans="1:8" s="34" customFormat="1" ht="12.95" customHeight="1" thickBot="1" x14ac:dyDescent="0.25">
      <c r="C10" s="42" t="s">
        <v>19</v>
      </c>
      <c r="D10" s="42" t="s">
        <v>20</v>
      </c>
    </row>
    <row r="11" spans="1:8" s="34" customFormat="1" ht="12.95" customHeight="1" x14ac:dyDescent="0.2">
      <c r="A11" s="34" t="s">
        <v>14</v>
      </c>
      <c r="C11" s="43">
        <f ca="1">INTERCEPT(INDIRECT($G$11):G992,INDIRECT($F$11):F992)</f>
        <v>1.9148155027995774E-4</v>
      </c>
      <c r="D11" s="35"/>
      <c r="F11" s="44" t="str">
        <f>"F"&amp;E19</f>
        <v>F21</v>
      </c>
      <c r="G11" s="43" t="str">
        <f>"G"&amp;E19</f>
        <v>G21</v>
      </c>
    </row>
    <row r="12" spans="1:8" s="34" customFormat="1" ht="12.95" customHeight="1" x14ac:dyDescent="0.2">
      <c r="A12" s="34" t="s">
        <v>15</v>
      </c>
      <c r="C12" s="43">
        <f ca="1">SLOPE(INDIRECT($G$11):G992,INDIRECT($F$11):F992)</f>
        <v>-1.5458144589345665E-7</v>
      </c>
      <c r="D12" s="35"/>
    </row>
    <row r="13" spans="1:8" s="34" customFormat="1" ht="12.95" customHeight="1" x14ac:dyDescent="0.2">
      <c r="A13" s="34" t="s">
        <v>18</v>
      </c>
      <c r="C13" s="35" t="s">
        <v>12</v>
      </c>
      <c r="D13" s="45" t="s">
        <v>44</v>
      </c>
      <c r="E13" s="40">
        <v>1</v>
      </c>
    </row>
    <row r="14" spans="1:8" s="34" customFormat="1" ht="12.95" customHeight="1" x14ac:dyDescent="0.2">
      <c r="D14" s="45" t="s">
        <v>30</v>
      </c>
      <c r="E14" s="46">
        <f ca="1">NOW()+15018.5+$C$9/24</f>
        <v>60371.781931944439</v>
      </c>
    </row>
    <row r="15" spans="1:8" s="34" customFormat="1" ht="12.95" customHeight="1" x14ac:dyDescent="0.2">
      <c r="A15" s="47" t="s">
        <v>16</v>
      </c>
      <c r="C15" s="48">
        <f ca="1">(C7+C11)+(C8+C12)*INT(MAX(F21:F3533))</f>
        <v>56133.529802099496</v>
      </c>
      <c r="D15" s="45" t="s">
        <v>45</v>
      </c>
      <c r="E15" s="46">
        <f ca="1">ROUND(2*(E14-$C$7)/$C$8,0)/2+E13</f>
        <v>22998</v>
      </c>
    </row>
    <row r="16" spans="1:8" s="34" customFormat="1" ht="12.95" customHeight="1" x14ac:dyDescent="0.2">
      <c r="A16" s="36" t="s">
        <v>3</v>
      </c>
      <c r="C16" s="49">
        <f ca="1">+C8+C12</f>
        <v>0.34228594541855412</v>
      </c>
      <c r="D16" s="45" t="s">
        <v>31</v>
      </c>
      <c r="E16" s="43">
        <f ca="1">ROUND(2*(E14-$C$15)/$C$16,0)/2+E13</f>
        <v>12383</v>
      </c>
    </row>
    <row r="17" spans="1:17" s="34" customFormat="1" ht="12.95" customHeight="1" thickBot="1" x14ac:dyDescent="0.25">
      <c r="A17" s="45" t="s">
        <v>27</v>
      </c>
      <c r="C17" s="34">
        <f>COUNT(C21:C2191)</f>
        <v>21</v>
      </c>
      <c r="D17" s="45" t="s">
        <v>32</v>
      </c>
      <c r="E17" s="50">
        <f ca="1">+$C$15+$C$16*E16-15018.5-$C$9/24</f>
        <v>45353.952497550788</v>
      </c>
    </row>
    <row r="18" spans="1:17" s="34" customFormat="1" ht="12.95" customHeight="1" thickTop="1" thickBot="1" x14ac:dyDescent="0.25">
      <c r="A18" s="36" t="s">
        <v>4</v>
      </c>
      <c r="C18" s="51">
        <f ca="1">+C15</f>
        <v>56133.529802099496</v>
      </c>
      <c r="D18" s="52">
        <f ca="1">+C16</f>
        <v>0.34228594541855412</v>
      </c>
      <c r="E18" s="53" t="s">
        <v>33</v>
      </c>
    </row>
    <row r="19" spans="1:17" s="34" customFormat="1" ht="12.95" customHeight="1" thickTop="1" x14ac:dyDescent="0.2">
      <c r="A19" s="54" t="s">
        <v>34</v>
      </c>
      <c r="E19" s="55">
        <v>21</v>
      </c>
    </row>
    <row r="20" spans="1:17" s="34" customFormat="1" ht="12.95" customHeight="1" thickBot="1" x14ac:dyDescent="0.25">
      <c r="A20" s="42" t="s">
        <v>5</v>
      </c>
      <c r="B20" s="42" t="s">
        <v>6</v>
      </c>
      <c r="C20" s="42" t="s">
        <v>7</v>
      </c>
      <c r="D20" s="42" t="s">
        <v>11</v>
      </c>
      <c r="E20" s="42" t="s">
        <v>8</v>
      </c>
      <c r="F20" s="42" t="s">
        <v>9</v>
      </c>
      <c r="G20" s="42" t="s">
        <v>10</v>
      </c>
      <c r="H20" s="56" t="s">
        <v>37</v>
      </c>
      <c r="I20" s="56" t="s">
        <v>135</v>
      </c>
      <c r="J20" s="56" t="s">
        <v>17</v>
      </c>
      <c r="K20" s="56" t="s">
        <v>136</v>
      </c>
      <c r="L20" s="56" t="s">
        <v>24</v>
      </c>
      <c r="M20" s="56" t="s">
        <v>25</v>
      </c>
      <c r="N20" s="56" t="s">
        <v>26</v>
      </c>
      <c r="O20" s="56" t="s">
        <v>22</v>
      </c>
      <c r="P20" s="57" t="s">
        <v>21</v>
      </c>
      <c r="Q20" s="42" t="s">
        <v>13</v>
      </c>
    </row>
    <row r="21" spans="1:17" s="34" customFormat="1" ht="12.95" customHeight="1" x14ac:dyDescent="0.2">
      <c r="A21" s="9" t="s">
        <v>47</v>
      </c>
      <c r="B21" s="11" t="s">
        <v>35</v>
      </c>
      <c r="C21" s="9">
        <v>51487.338400000001</v>
      </c>
      <c r="D21" s="9">
        <v>1E-3</v>
      </c>
      <c r="E21" s="34">
        <f t="shared" ref="E21:E41" si="0">+(C21-C$7)/C$8</f>
        <v>-2959.0038859305014</v>
      </c>
      <c r="F21" s="34">
        <f t="shared" ref="F21:F41" si="1">ROUND(2*E21,0)/2</f>
        <v>-2959</v>
      </c>
      <c r="G21" s="34">
        <f t="shared" ref="G21:G41" si="2">+C21-(C$7+F21*C$8)</f>
        <v>-1.330099992628675E-3</v>
      </c>
      <c r="I21" s="34">
        <f>+G21</f>
        <v>-1.330099992628675E-3</v>
      </c>
      <c r="O21" s="34">
        <f t="shared" ref="O21:O41" ca="1" si="3">+C$11+C$12*$F21</f>
        <v>6.4888804867869597E-4</v>
      </c>
      <c r="Q21" s="58">
        <f t="shared" ref="Q21:Q41" si="4">+C21-15018.5</f>
        <v>36468.838400000001</v>
      </c>
    </row>
    <row r="22" spans="1:17" s="34" customFormat="1" ht="12.95" customHeight="1" x14ac:dyDescent="0.2">
      <c r="A22" s="59" t="s">
        <v>66</v>
      </c>
      <c r="B22" s="60" t="s">
        <v>42</v>
      </c>
      <c r="C22" s="61">
        <v>52123.478499999997</v>
      </c>
      <c r="D22" s="62"/>
      <c r="E22" s="34">
        <f t="shared" si="0"/>
        <v>-1100.4998450126934</v>
      </c>
      <c r="F22" s="34">
        <f t="shared" si="1"/>
        <v>-1100.5</v>
      </c>
      <c r="G22" s="34">
        <f t="shared" si="2"/>
        <v>5.3050003771204501E-5</v>
      </c>
      <c r="K22" s="34">
        <f>+G22</f>
        <v>5.3050003771204501E-5</v>
      </c>
      <c r="O22" s="34">
        <f t="shared" ca="1" si="3"/>
        <v>3.6159843148570679E-4</v>
      </c>
      <c r="Q22" s="58">
        <f t="shared" si="4"/>
        <v>37104.978499999997</v>
      </c>
    </row>
    <row r="23" spans="1:17" s="34" customFormat="1" ht="12.95" customHeight="1" x14ac:dyDescent="0.2">
      <c r="A23" s="9" t="s">
        <v>47</v>
      </c>
      <c r="B23" s="11" t="s">
        <v>42</v>
      </c>
      <c r="C23" s="9">
        <v>52123.478600000002</v>
      </c>
      <c r="D23" s="9">
        <v>5.0000000000000001E-4</v>
      </c>
      <c r="E23" s="34">
        <f t="shared" si="0"/>
        <v>-1100.4995528594195</v>
      </c>
      <c r="F23" s="34">
        <f t="shared" si="1"/>
        <v>-1100.5</v>
      </c>
      <c r="G23" s="34">
        <f t="shared" si="2"/>
        <v>1.5305000852094963E-4</v>
      </c>
      <c r="I23" s="34">
        <f>+G23</f>
        <v>1.5305000852094963E-4</v>
      </c>
      <c r="O23" s="34">
        <f t="shared" ca="1" si="3"/>
        <v>3.6159843148570679E-4</v>
      </c>
      <c r="Q23" s="58">
        <f t="shared" si="4"/>
        <v>37104.978600000002</v>
      </c>
    </row>
    <row r="24" spans="1:17" s="34" customFormat="1" ht="12.95" customHeight="1" x14ac:dyDescent="0.2">
      <c r="A24" s="9" t="s">
        <v>47</v>
      </c>
      <c r="B24" s="11" t="s">
        <v>35</v>
      </c>
      <c r="C24" s="9">
        <v>52133.575199999999</v>
      </c>
      <c r="D24" s="9">
        <v>5.0000000000000001E-4</v>
      </c>
      <c r="E24" s="34">
        <f t="shared" si="0"/>
        <v>-1071.0020068007361</v>
      </c>
      <c r="F24" s="34">
        <f t="shared" si="1"/>
        <v>-1071</v>
      </c>
      <c r="G24" s="34">
        <f t="shared" si="2"/>
        <v>-6.8689999898197129E-4</v>
      </c>
      <c r="I24" s="34">
        <f>+G24</f>
        <v>-6.8689999898197129E-4</v>
      </c>
      <c r="O24" s="34">
        <f t="shared" ca="1" si="3"/>
        <v>3.5703827883184981E-4</v>
      </c>
      <c r="Q24" s="58">
        <f t="shared" si="4"/>
        <v>37115.075199999999</v>
      </c>
    </row>
    <row r="25" spans="1:17" s="34" customFormat="1" ht="12.95" customHeight="1" x14ac:dyDescent="0.2">
      <c r="A25" s="59" t="s">
        <v>66</v>
      </c>
      <c r="B25" s="60" t="s">
        <v>42</v>
      </c>
      <c r="C25" s="61">
        <v>52135.459300000002</v>
      </c>
      <c r="D25" s="62"/>
      <c r="E25" s="34">
        <f t="shared" si="0"/>
        <v>-1065.4975472272888</v>
      </c>
      <c r="F25" s="34">
        <f t="shared" si="1"/>
        <v>-1065.5</v>
      </c>
      <c r="G25" s="34">
        <f t="shared" si="2"/>
        <v>8.3955000445712358E-4</v>
      </c>
      <c r="K25" s="34">
        <f>+G25</f>
        <v>8.3955000445712358E-4</v>
      </c>
      <c r="O25" s="34">
        <f t="shared" ca="1" si="3"/>
        <v>3.5618808087943581E-4</v>
      </c>
      <c r="Q25" s="58">
        <f t="shared" si="4"/>
        <v>37116.959300000002</v>
      </c>
    </row>
    <row r="26" spans="1:17" s="34" customFormat="1" ht="12.95" customHeight="1" x14ac:dyDescent="0.2">
      <c r="A26" s="9" t="s">
        <v>47</v>
      </c>
      <c r="B26" s="11" t="s">
        <v>42</v>
      </c>
      <c r="C26" s="9">
        <v>52135.4594</v>
      </c>
      <c r="D26" s="9">
        <v>5.0000000000000001E-4</v>
      </c>
      <c r="E26" s="34">
        <f t="shared" si="0"/>
        <v>-1065.497255074036</v>
      </c>
      <c r="F26" s="34">
        <f t="shared" si="1"/>
        <v>-1065.5</v>
      </c>
      <c r="G26" s="34">
        <f t="shared" si="2"/>
        <v>9.3955000193091109E-4</v>
      </c>
      <c r="I26" s="34">
        <f>+G26</f>
        <v>9.3955000193091109E-4</v>
      </c>
      <c r="O26" s="34">
        <f t="shared" ca="1" si="3"/>
        <v>3.5618808087943581E-4</v>
      </c>
      <c r="Q26" s="58">
        <f t="shared" si="4"/>
        <v>37116.9594</v>
      </c>
    </row>
    <row r="27" spans="1:17" s="34" customFormat="1" ht="12.95" customHeight="1" x14ac:dyDescent="0.2">
      <c r="A27" s="59" t="s">
        <v>66</v>
      </c>
      <c r="B27" s="60" t="s">
        <v>42</v>
      </c>
      <c r="C27" s="61">
        <v>52136.486100000002</v>
      </c>
      <c r="D27" s="62"/>
      <c r="E27" s="34">
        <f t="shared" si="0"/>
        <v>-1062.4977175526406</v>
      </c>
      <c r="F27" s="34">
        <f t="shared" si="1"/>
        <v>-1062.5</v>
      </c>
      <c r="G27" s="34">
        <f t="shared" si="2"/>
        <v>7.8125000436557457E-4</v>
      </c>
      <c r="K27" s="34">
        <f>+G27</f>
        <v>7.8125000436557457E-4</v>
      </c>
      <c r="O27" s="34">
        <f t="shared" ca="1" si="3"/>
        <v>3.5572433654175543E-4</v>
      </c>
      <c r="Q27" s="58">
        <f t="shared" si="4"/>
        <v>37117.986100000002</v>
      </c>
    </row>
    <row r="28" spans="1:17" x14ac:dyDescent="0.2">
      <c r="A28" s="9" t="s">
        <v>47</v>
      </c>
      <c r="B28" s="11" t="s">
        <v>42</v>
      </c>
      <c r="C28" s="9">
        <v>52136.486199999999</v>
      </c>
      <c r="D28" s="9">
        <v>5.0000000000000001E-4</v>
      </c>
      <c r="E28">
        <f t="shared" si="0"/>
        <v>-1062.4974253993878</v>
      </c>
      <c r="F28">
        <f t="shared" si="1"/>
        <v>-1062.5</v>
      </c>
      <c r="G28">
        <f t="shared" si="2"/>
        <v>8.8125000183936208E-4</v>
      </c>
      <c r="I28">
        <f>+G28</f>
        <v>8.8125000183936208E-4</v>
      </c>
      <c r="O28">
        <f t="shared" ca="1" si="3"/>
        <v>3.5572433654175543E-4</v>
      </c>
      <c r="Q28" s="2">
        <f t="shared" si="4"/>
        <v>37117.986199999999</v>
      </c>
    </row>
    <row r="29" spans="1:17" x14ac:dyDescent="0.2">
      <c r="A29" s="9" t="s">
        <v>47</v>
      </c>
      <c r="B29" s="11" t="s">
        <v>42</v>
      </c>
      <c r="C29" s="9">
        <v>52137.513599999998</v>
      </c>
      <c r="D29" s="9">
        <v>5.0000000000000001E-4</v>
      </c>
      <c r="E29">
        <f t="shared" si="0"/>
        <v>-1059.4958428051807</v>
      </c>
      <c r="F29">
        <f t="shared" si="1"/>
        <v>-1059.5</v>
      </c>
      <c r="G29">
        <f t="shared" si="2"/>
        <v>1.4229500011424534E-3</v>
      </c>
      <c r="I29">
        <f>+G29</f>
        <v>1.4229500011424534E-3</v>
      </c>
      <c r="O29">
        <f t="shared" ca="1" si="3"/>
        <v>3.552605922040751E-4</v>
      </c>
      <c r="Q29" s="2">
        <f t="shared" si="4"/>
        <v>37119.013599999998</v>
      </c>
    </row>
    <row r="30" spans="1:17" x14ac:dyDescent="0.2">
      <c r="A30" s="9" t="s">
        <v>47</v>
      </c>
      <c r="B30" s="11" t="s">
        <v>35</v>
      </c>
      <c r="C30" s="9">
        <v>52144.528599999998</v>
      </c>
      <c r="D30" s="9">
        <v>5.0000000000000001E-4</v>
      </c>
      <c r="E30">
        <f t="shared" si="0"/>
        <v>-1039.0012916095598</v>
      </c>
      <c r="F30">
        <f t="shared" si="1"/>
        <v>-1039</v>
      </c>
      <c r="G30">
        <f t="shared" si="2"/>
        <v>-4.4209999759914353E-4</v>
      </c>
      <c r="I30">
        <f>+G30</f>
        <v>-4.4209999759914353E-4</v>
      </c>
      <c r="O30">
        <f t="shared" ca="1" si="3"/>
        <v>3.5209167256325922E-4</v>
      </c>
      <c r="Q30" s="2">
        <f t="shared" si="4"/>
        <v>37126.028599999998</v>
      </c>
    </row>
    <row r="31" spans="1:17" x14ac:dyDescent="0.2">
      <c r="A31" s="9" t="s">
        <v>47</v>
      </c>
      <c r="B31" s="11" t="s">
        <v>35</v>
      </c>
      <c r="C31" s="9">
        <v>52176.361199999999</v>
      </c>
      <c r="D31" s="9">
        <v>5.0000000000000001E-4</v>
      </c>
      <c r="E31">
        <f t="shared" si="0"/>
        <v>-946.00131293674315</v>
      </c>
      <c r="F31">
        <f t="shared" si="1"/>
        <v>-946</v>
      </c>
      <c r="G31">
        <f t="shared" si="2"/>
        <v>-4.4939999497728422E-4</v>
      </c>
      <c r="I31">
        <f>+G31</f>
        <v>-4.4939999497728422E-4</v>
      </c>
      <c r="O31">
        <f t="shared" ca="1" si="3"/>
        <v>3.3771559809516773E-4</v>
      </c>
      <c r="Q31" s="2">
        <f t="shared" si="4"/>
        <v>37157.861199999999</v>
      </c>
    </row>
    <row r="32" spans="1:17" x14ac:dyDescent="0.2">
      <c r="A32" s="7" t="s">
        <v>37</v>
      </c>
      <c r="B32" s="6" t="s">
        <v>35</v>
      </c>
      <c r="C32" s="7">
        <v>52500.164299999997</v>
      </c>
      <c r="D32" s="12"/>
      <c r="E32">
        <f t="shared" si="0"/>
        <v>0</v>
      </c>
      <c r="F32">
        <f t="shared" si="1"/>
        <v>0</v>
      </c>
      <c r="G32">
        <f t="shared" si="2"/>
        <v>0</v>
      </c>
      <c r="H32">
        <f>+G32</f>
        <v>0</v>
      </c>
      <c r="O32">
        <f t="shared" ca="1" si="3"/>
        <v>1.9148155027995774E-4</v>
      </c>
      <c r="Q32" s="2">
        <f t="shared" si="4"/>
        <v>37481.664299999997</v>
      </c>
    </row>
    <row r="33" spans="1:17" x14ac:dyDescent="0.2">
      <c r="A33" s="9" t="s">
        <v>43</v>
      </c>
      <c r="B33" s="8"/>
      <c r="C33" s="10">
        <v>52940.343200000003</v>
      </c>
      <c r="D33" s="10">
        <v>1.8E-3</v>
      </c>
      <c r="E33">
        <f t="shared" si="0"/>
        <v>1285.9970065977154</v>
      </c>
      <c r="F33">
        <f t="shared" si="1"/>
        <v>1286</v>
      </c>
      <c r="G33">
        <f t="shared" si="2"/>
        <v>-1.0245999947073869E-3</v>
      </c>
      <c r="I33">
        <f>+G33</f>
        <v>-1.0245999947073869E-3</v>
      </c>
      <c r="O33">
        <f t="shared" ca="1" si="3"/>
        <v>-7.3101891390275019E-6</v>
      </c>
      <c r="Q33" s="2">
        <f t="shared" si="4"/>
        <v>37921.843200000003</v>
      </c>
    </row>
    <row r="34" spans="1:17" x14ac:dyDescent="0.2">
      <c r="A34" s="31" t="s">
        <v>98</v>
      </c>
      <c r="B34" s="33" t="s">
        <v>35</v>
      </c>
      <c r="C34" s="32">
        <v>53621.493999999999</v>
      </c>
      <c r="D34" s="4"/>
      <c r="E34">
        <f t="shared" si="0"/>
        <v>3276.0012749568332</v>
      </c>
      <c r="F34">
        <f t="shared" si="1"/>
        <v>3276</v>
      </c>
      <c r="G34">
        <f t="shared" si="2"/>
        <v>4.3640000512823462E-4</v>
      </c>
      <c r="K34">
        <f>+G34</f>
        <v>4.3640000512823462E-4</v>
      </c>
      <c r="O34">
        <f t="shared" ca="1" si="3"/>
        <v>-3.1492726646700623E-4</v>
      </c>
      <c r="Q34" s="2">
        <f t="shared" si="4"/>
        <v>38602.993999999999</v>
      </c>
    </row>
    <row r="35" spans="1:17" x14ac:dyDescent="0.2">
      <c r="A35" s="7" t="s">
        <v>41</v>
      </c>
      <c r="B35" s="8" t="s">
        <v>35</v>
      </c>
      <c r="C35" s="7">
        <v>54025.391100000001</v>
      </c>
      <c r="D35" s="7">
        <v>5.9999999999999995E-4</v>
      </c>
      <c r="E35">
        <f t="shared" si="0"/>
        <v>4455.999820033604</v>
      </c>
      <c r="F35">
        <f t="shared" si="1"/>
        <v>4456</v>
      </c>
      <c r="G35">
        <f t="shared" si="2"/>
        <v>-6.1599996115546674E-5</v>
      </c>
      <c r="I35">
        <f>+G35</f>
        <v>-6.1599996115546674E-5</v>
      </c>
      <c r="O35">
        <f t="shared" ca="1" si="3"/>
        <v>-4.9733337262128515E-4</v>
      </c>
      <c r="Q35" s="2">
        <f t="shared" si="4"/>
        <v>39006.891100000001</v>
      </c>
    </row>
    <row r="36" spans="1:17" x14ac:dyDescent="0.2">
      <c r="A36" s="7" t="s">
        <v>41</v>
      </c>
      <c r="B36" s="6" t="s">
        <v>42</v>
      </c>
      <c r="C36" s="7">
        <v>54025.565399999999</v>
      </c>
      <c r="D36" s="7">
        <v>1.6000000000000001E-3</v>
      </c>
      <c r="E36">
        <f t="shared" si="0"/>
        <v>4456.5090431659446</v>
      </c>
      <c r="F36">
        <f t="shared" si="1"/>
        <v>4456.5</v>
      </c>
      <c r="G36">
        <f t="shared" si="2"/>
        <v>3.0953500026953407E-3</v>
      </c>
      <c r="I36">
        <f>+G36</f>
        <v>3.0953500026953407E-3</v>
      </c>
      <c r="O36">
        <f t="shared" ca="1" si="3"/>
        <v>-4.9741066334423186E-4</v>
      </c>
      <c r="Q36" s="2">
        <f t="shared" si="4"/>
        <v>39007.065399999999</v>
      </c>
    </row>
    <row r="37" spans="1:17" x14ac:dyDescent="0.2">
      <c r="A37" s="31" t="s">
        <v>115</v>
      </c>
      <c r="B37" s="33" t="s">
        <v>35</v>
      </c>
      <c r="C37" s="32">
        <v>54417.994700000003</v>
      </c>
      <c r="D37" s="4"/>
      <c r="E37">
        <f t="shared" si="0"/>
        <v>5603.0040366816129</v>
      </c>
      <c r="F37">
        <f t="shared" si="1"/>
        <v>5603</v>
      </c>
      <c r="G37">
        <f t="shared" si="2"/>
        <v>1.3817000071867369E-3</v>
      </c>
      <c r="K37">
        <f>+G37</f>
        <v>1.3817000071867369E-3</v>
      </c>
      <c r="O37">
        <f t="shared" ca="1" si="3"/>
        <v>-6.7463829106107983E-4</v>
      </c>
      <c r="Q37" s="2">
        <f t="shared" si="4"/>
        <v>39399.494700000003</v>
      </c>
    </row>
    <row r="38" spans="1:17" x14ac:dyDescent="0.2">
      <c r="A38" s="31" t="s">
        <v>98</v>
      </c>
      <c r="B38" s="33" t="s">
        <v>35</v>
      </c>
      <c r="C38" s="32">
        <v>54704.4853</v>
      </c>
      <c r="D38" s="4"/>
      <c r="E38">
        <f t="shared" si="0"/>
        <v>6439.9956644456306</v>
      </c>
      <c r="F38">
        <f t="shared" si="1"/>
        <v>6440</v>
      </c>
      <c r="G38">
        <f t="shared" si="2"/>
        <v>-1.4839999930700287E-3</v>
      </c>
      <c r="K38">
        <f>+G38</f>
        <v>-1.4839999930700287E-3</v>
      </c>
      <c r="O38">
        <f t="shared" ca="1" si="3"/>
        <v>-8.0402296127390308E-4</v>
      </c>
      <c r="Q38" s="2">
        <f t="shared" si="4"/>
        <v>39685.9853</v>
      </c>
    </row>
    <row r="39" spans="1:17" x14ac:dyDescent="0.2">
      <c r="A39" s="31" t="s">
        <v>98</v>
      </c>
      <c r="B39" s="33" t="s">
        <v>35</v>
      </c>
      <c r="C39" s="32">
        <v>54763.360999999997</v>
      </c>
      <c r="D39" s="4"/>
      <c r="E39">
        <f t="shared" si="0"/>
        <v>6612.0029413990242</v>
      </c>
      <c r="F39">
        <f t="shared" si="1"/>
        <v>6612</v>
      </c>
      <c r="G39">
        <f t="shared" si="2"/>
        <v>1.0067999974125996E-3</v>
      </c>
      <c r="K39">
        <f>+G39</f>
        <v>1.0067999974125996E-3</v>
      </c>
      <c r="O39">
        <f t="shared" ca="1" si="3"/>
        <v>-8.3061096996757768E-4</v>
      </c>
      <c r="Q39" s="2">
        <f t="shared" si="4"/>
        <v>39744.860999999997</v>
      </c>
    </row>
    <row r="40" spans="1:17" x14ac:dyDescent="0.2">
      <c r="A40" s="13" t="s">
        <v>46</v>
      </c>
      <c r="B40" s="6" t="s">
        <v>35</v>
      </c>
      <c r="C40" s="7">
        <v>55501.666599999997</v>
      </c>
      <c r="D40" s="7">
        <v>1.1000000000000001E-3</v>
      </c>
      <c r="E40">
        <f t="shared" si="0"/>
        <v>8768.9868212585916</v>
      </c>
      <c r="F40">
        <f t="shared" si="1"/>
        <v>8769</v>
      </c>
      <c r="G40">
        <f t="shared" si="2"/>
        <v>-4.5108999984222464E-3</v>
      </c>
      <c r="I40">
        <f>+G40</f>
        <v>-4.5108999984222464E-3</v>
      </c>
      <c r="O40">
        <f t="shared" ca="1" si="3"/>
        <v>-1.1640431487597636E-3</v>
      </c>
      <c r="Q40" s="2">
        <f t="shared" si="4"/>
        <v>40483.166599999997</v>
      </c>
    </row>
    <row r="41" spans="1:17" x14ac:dyDescent="0.2">
      <c r="A41" s="14" t="s">
        <v>48</v>
      </c>
      <c r="B41" s="15" t="s">
        <v>35</v>
      </c>
      <c r="C41" s="16">
        <v>56133.528400000003</v>
      </c>
      <c r="D41" s="17">
        <v>1E-3</v>
      </c>
      <c r="E41">
        <f t="shared" si="0"/>
        <v>10614.991669249806</v>
      </c>
      <c r="F41">
        <f t="shared" si="1"/>
        <v>10615</v>
      </c>
      <c r="G41">
        <f t="shared" si="2"/>
        <v>-2.8514999939943664E-3</v>
      </c>
      <c r="I41">
        <f>+G41</f>
        <v>-2.8514999939943664E-3</v>
      </c>
      <c r="O41">
        <f t="shared" ca="1" si="3"/>
        <v>-1.4494004978790845E-3</v>
      </c>
      <c r="Q41" s="2">
        <f t="shared" si="4"/>
        <v>41115.028400000003</v>
      </c>
    </row>
    <row r="42" spans="1:17" x14ac:dyDescent="0.2">
      <c r="C42" s="4"/>
      <c r="D42" s="4"/>
    </row>
    <row r="43" spans="1:17" x14ac:dyDescent="0.2">
      <c r="C43" s="4"/>
      <c r="D43" s="4"/>
    </row>
    <row r="44" spans="1:17" x14ac:dyDescent="0.2">
      <c r="C44" s="4"/>
      <c r="D44" s="4"/>
    </row>
    <row r="45" spans="1:17" x14ac:dyDescent="0.2">
      <c r="C45" s="4"/>
      <c r="D45" s="4"/>
    </row>
    <row r="46" spans="1:17" x14ac:dyDescent="0.2">
      <c r="C46" s="4"/>
      <c r="D46" s="4"/>
    </row>
    <row r="47" spans="1:17" x14ac:dyDescent="0.2">
      <c r="C47" s="4"/>
      <c r="D47" s="4"/>
    </row>
    <row r="48" spans="1:17" x14ac:dyDescent="0.2">
      <c r="C48" s="4"/>
      <c r="D48" s="4"/>
    </row>
    <row r="49" spans="3:4" x14ac:dyDescent="0.2">
      <c r="C49" s="4"/>
      <c r="D49" s="4"/>
    </row>
    <row r="50" spans="3:4" x14ac:dyDescent="0.2">
      <c r="C50" s="4"/>
      <c r="D50" s="4"/>
    </row>
    <row r="51" spans="3:4" x14ac:dyDescent="0.2">
      <c r="C51" s="4"/>
      <c r="D51" s="4"/>
    </row>
    <row r="52" spans="3:4" x14ac:dyDescent="0.2">
      <c r="C52" s="4"/>
      <c r="D52" s="4"/>
    </row>
    <row r="53" spans="3:4" x14ac:dyDescent="0.2">
      <c r="C53" s="4"/>
      <c r="D53" s="4"/>
    </row>
    <row r="54" spans="3:4" x14ac:dyDescent="0.2">
      <c r="C54" s="4"/>
      <c r="D54" s="4"/>
    </row>
    <row r="55" spans="3:4" x14ac:dyDescent="0.2">
      <c r="C55" s="4"/>
      <c r="D55" s="4"/>
    </row>
    <row r="56" spans="3:4" x14ac:dyDescent="0.2">
      <c r="C56" s="4"/>
      <c r="D56" s="4"/>
    </row>
    <row r="57" spans="3:4" x14ac:dyDescent="0.2">
      <c r="C57" s="4"/>
      <c r="D57" s="4"/>
    </row>
    <row r="58" spans="3:4" x14ac:dyDescent="0.2">
      <c r="C58" s="4"/>
      <c r="D58" s="4"/>
    </row>
    <row r="59" spans="3:4" x14ac:dyDescent="0.2">
      <c r="C59" s="4"/>
      <c r="D59" s="4"/>
    </row>
    <row r="60" spans="3:4" x14ac:dyDescent="0.2">
      <c r="C60" s="4"/>
      <c r="D60" s="4"/>
    </row>
    <row r="61" spans="3:4" x14ac:dyDescent="0.2">
      <c r="C61" s="4"/>
      <c r="D61" s="4"/>
    </row>
    <row r="62" spans="3:4" x14ac:dyDescent="0.2">
      <c r="C62" s="4"/>
      <c r="D62" s="4"/>
    </row>
    <row r="63" spans="3:4" x14ac:dyDescent="0.2">
      <c r="C63" s="4"/>
      <c r="D63" s="4"/>
    </row>
    <row r="64" spans="3:4" x14ac:dyDescent="0.2">
      <c r="C64" s="4"/>
      <c r="D64" s="4"/>
    </row>
    <row r="65" spans="3:4" x14ac:dyDescent="0.2">
      <c r="C65" s="4"/>
      <c r="D65" s="4"/>
    </row>
    <row r="66" spans="3:4" x14ac:dyDescent="0.2">
      <c r="C66" s="4"/>
      <c r="D66" s="4"/>
    </row>
    <row r="67" spans="3:4" x14ac:dyDescent="0.2">
      <c r="C67" s="4"/>
      <c r="D67" s="4"/>
    </row>
    <row r="68" spans="3:4" x14ac:dyDescent="0.2">
      <c r="C68" s="4"/>
      <c r="D68" s="4"/>
    </row>
    <row r="69" spans="3:4" x14ac:dyDescent="0.2">
      <c r="C69" s="4"/>
      <c r="D69" s="4"/>
    </row>
    <row r="70" spans="3:4" x14ac:dyDescent="0.2">
      <c r="C70" s="4"/>
      <c r="D70" s="4"/>
    </row>
    <row r="71" spans="3:4" x14ac:dyDescent="0.2">
      <c r="C71" s="4"/>
      <c r="D71" s="4"/>
    </row>
    <row r="72" spans="3:4" x14ac:dyDescent="0.2">
      <c r="C72" s="4"/>
      <c r="D72" s="4"/>
    </row>
    <row r="73" spans="3:4" x14ac:dyDescent="0.2">
      <c r="C73" s="4"/>
      <c r="D73" s="4"/>
    </row>
    <row r="74" spans="3:4" x14ac:dyDescent="0.2">
      <c r="C74" s="4"/>
      <c r="D74" s="4"/>
    </row>
    <row r="75" spans="3:4" x14ac:dyDescent="0.2">
      <c r="C75" s="4"/>
      <c r="D75" s="4"/>
    </row>
    <row r="76" spans="3:4" x14ac:dyDescent="0.2">
      <c r="C76" s="4"/>
      <c r="D76" s="4"/>
    </row>
    <row r="77" spans="3:4" x14ac:dyDescent="0.2">
      <c r="C77" s="4"/>
      <c r="D77" s="4"/>
    </row>
    <row r="78" spans="3:4" x14ac:dyDescent="0.2">
      <c r="C78" s="4"/>
      <c r="D78" s="4"/>
    </row>
    <row r="79" spans="3:4" x14ac:dyDescent="0.2">
      <c r="C79" s="4"/>
      <c r="D79" s="4"/>
    </row>
    <row r="80" spans="3:4" x14ac:dyDescent="0.2">
      <c r="C80" s="4"/>
      <c r="D80" s="4"/>
    </row>
    <row r="81" spans="3:4" x14ac:dyDescent="0.2">
      <c r="C81" s="4"/>
      <c r="D81" s="4"/>
    </row>
    <row r="82" spans="3:4" x14ac:dyDescent="0.2">
      <c r="C82" s="4"/>
      <c r="D82" s="4"/>
    </row>
    <row r="83" spans="3:4" x14ac:dyDescent="0.2">
      <c r="C83" s="4"/>
      <c r="D83" s="4"/>
    </row>
    <row r="84" spans="3:4" x14ac:dyDescent="0.2">
      <c r="C84" s="4"/>
      <c r="D84" s="4"/>
    </row>
    <row r="85" spans="3:4" x14ac:dyDescent="0.2">
      <c r="C85" s="4"/>
      <c r="D85" s="4"/>
    </row>
    <row r="86" spans="3:4" x14ac:dyDescent="0.2">
      <c r="C86" s="4"/>
      <c r="D86" s="4"/>
    </row>
    <row r="87" spans="3:4" x14ac:dyDescent="0.2">
      <c r="C87" s="4"/>
      <c r="D87" s="4"/>
    </row>
    <row r="88" spans="3:4" x14ac:dyDescent="0.2">
      <c r="C88" s="4"/>
      <c r="D88" s="4"/>
    </row>
    <row r="89" spans="3:4" x14ac:dyDescent="0.2">
      <c r="C89" s="4"/>
      <c r="D89" s="4"/>
    </row>
    <row r="90" spans="3:4" x14ac:dyDescent="0.2">
      <c r="C90" s="4"/>
      <c r="D90" s="4"/>
    </row>
    <row r="91" spans="3:4" x14ac:dyDescent="0.2">
      <c r="C91" s="4"/>
      <c r="D91" s="4"/>
    </row>
    <row r="92" spans="3:4" x14ac:dyDescent="0.2">
      <c r="C92" s="4"/>
      <c r="D92" s="4"/>
    </row>
    <row r="93" spans="3:4" x14ac:dyDescent="0.2">
      <c r="C93" s="4"/>
      <c r="D93" s="4"/>
    </row>
    <row r="94" spans="3:4" x14ac:dyDescent="0.2">
      <c r="C94" s="4"/>
      <c r="D94" s="4"/>
    </row>
    <row r="95" spans="3:4" x14ac:dyDescent="0.2">
      <c r="C95" s="4"/>
      <c r="D95" s="4"/>
    </row>
    <row r="96" spans="3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3"/>
  <sheetViews>
    <sheetView topLeftCell="A5" workbookViewId="0">
      <selection activeCell="A21" sqref="A21:C27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18" t="s">
        <v>49</v>
      </c>
      <c r="I1" s="19" t="s">
        <v>50</v>
      </c>
      <c r="J1" s="20" t="s">
        <v>51</v>
      </c>
    </row>
    <row r="2" spans="1:16" x14ac:dyDescent="0.2">
      <c r="I2" s="21" t="s">
        <v>52</v>
      </c>
      <c r="J2" s="22" t="s">
        <v>53</v>
      </c>
    </row>
    <row r="3" spans="1:16" x14ac:dyDescent="0.2">
      <c r="A3" s="23" t="s">
        <v>54</v>
      </c>
      <c r="I3" s="21" t="s">
        <v>55</v>
      </c>
      <c r="J3" s="22" t="s">
        <v>56</v>
      </c>
    </row>
    <row r="4" spans="1:16" x14ac:dyDescent="0.2">
      <c r="I4" s="21" t="s">
        <v>57</v>
      </c>
      <c r="J4" s="22" t="s">
        <v>56</v>
      </c>
    </row>
    <row r="5" spans="1:16" ht="13.5" thickBot="1" x14ac:dyDescent="0.25">
      <c r="I5" s="24" t="s">
        <v>58</v>
      </c>
      <c r="J5" s="25" t="s">
        <v>59</v>
      </c>
    </row>
    <row r="10" spans="1:16" ht="13.5" thickBot="1" x14ac:dyDescent="0.25"/>
    <row r="11" spans="1:16" ht="12.75" customHeight="1" thickBot="1" x14ac:dyDescent="0.25">
      <c r="A11" s="4" t="str">
        <f t="shared" ref="A11:A27" si="0">P11</f>
        <v>BAVM 139 </v>
      </c>
      <c r="B11" s="3" t="str">
        <f t="shared" ref="B11:B27" si="1">IF(H11=INT(H11),"I","II")</f>
        <v>I</v>
      </c>
      <c r="C11" s="4">
        <f t="shared" ref="C11:C27" si="2">1*G11</f>
        <v>51487.338400000001</v>
      </c>
      <c r="D11" s="5" t="str">
        <f t="shared" ref="D11:D27" si="3">VLOOKUP(F11,I$1:J$5,2,FALSE)</f>
        <v>vis</v>
      </c>
      <c r="E11" s="26">
        <f>VLOOKUP(C11,Active!C$21:E$973,3,FALSE)</f>
        <v>-2959.0038859305014</v>
      </c>
      <c r="F11" s="3" t="s">
        <v>58</v>
      </c>
      <c r="G11" s="5" t="str">
        <f t="shared" ref="G11:G27" si="4">MID(I11,3,LEN(I11)-3)</f>
        <v>51487.3384</v>
      </c>
      <c r="H11" s="4">
        <f t="shared" ref="H11:H27" si="5">1*K11</f>
        <v>-2959</v>
      </c>
      <c r="I11" s="27" t="s">
        <v>60</v>
      </c>
      <c r="J11" s="28" t="s">
        <v>61</v>
      </c>
      <c r="K11" s="27">
        <v>-2959</v>
      </c>
      <c r="L11" s="27" t="s">
        <v>62</v>
      </c>
      <c r="M11" s="28" t="s">
        <v>63</v>
      </c>
      <c r="N11" s="28" t="s">
        <v>64</v>
      </c>
      <c r="O11" s="29" t="s">
        <v>65</v>
      </c>
      <c r="P11" s="30" t="s">
        <v>66</v>
      </c>
    </row>
    <row r="12" spans="1:16" ht="12.75" customHeight="1" thickBot="1" x14ac:dyDescent="0.25">
      <c r="A12" s="4" t="str">
        <f t="shared" si="0"/>
        <v>BAVM 139 </v>
      </c>
      <c r="B12" s="3" t="str">
        <f t="shared" si="1"/>
        <v>I</v>
      </c>
      <c r="C12" s="4">
        <f t="shared" si="2"/>
        <v>52133.575199999999</v>
      </c>
      <c r="D12" s="5" t="str">
        <f t="shared" si="3"/>
        <v>vis</v>
      </c>
      <c r="E12" s="26">
        <f>VLOOKUP(C12,Active!C$21:E$973,3,FALSE)</f>
        <v>-1071.0020068007361</v>
      </c>
      <c r="F12" s="3" t="s">
        <v>58</v>
      </c>
      <c r="G12" s="5" t="str">
        <f t="shared" si="4"/>
        <v>52133.5752</v>
      </c>
      <c r="H12" s="4">
        <f t="shared" si="5"/>
        <v>-1071</v>
      </c>
      <c r="I12" s="27" t="s">
        <v>71</v>
      </c>
      <c r="J12" s="28" t="s">
        <v>72</v>
      </c>
      <c r="K12" s="27">
        <v>-1071</v>
      </c>
      <c r="L12" s="27" t="s">
        <v>73</v>
      </c>
      <c r="M12" s="28" t="s">
        <v>63</v>
      </c>
      <c r="N12" s="28" t="s">
        <v>64</v>
      </c>
      <c r="O12" s="29" t="s">
        <v>70</v>
      </c>
      <c r="P12" s="30" t="s">
        <v>66</v>
      </c>
    </row>
    <row r="13" spans="1:16" ht="12.75" customHeight="1" thickBot="1" x14ac:dyDescent="0.25">
      <c r="A13" s="4" t="str">
        <f t="shared" si="0"/>
        <v>BAVM 139 </v>
      </c>
      <c r="B13" s="3" t="str">
        <f t="shared" si="1"/>
        <v>II</v>
      </c>
      <c r="C13" s="4">
        <f t="shared" si="2"/>
        <v>52137.513599999998</v>
      </c>
      <c r="D13" s="5" t="str">
        <f t="shared" si="3"/>
        <v>vis</v>
      </c>
      <c r="E13" s="26">
        <f>VLOOKUP(C13,Active!C$21:E$973,3,FALSE)</f>
        <v>-1059.4958428051807</v>
      </c>
      <c r="F13" s="3" t="s">
        <v>58</v>
      </c>
      <c r="G13" s="5" t="str">
        <f t="shared" si="4"/>
        <v>52137.5136</v>
      </c>
      <c r="H13" s="4">
        <f t="shared" si="5"/>
        <v>-1059.5</v>
      </c>
      <c r="I13" s="27" t="s">
        <v>80</v>
      </c>
      <c r="J13" s="28" t="s">
        <v>81</v>
      </c>
      <c r="K13" s="27">
        <v>-1059.5</v>
      </c>
      <c r="L13" s="27" t="s">
        <v>82</v>
      </c>
      <c r="M13" s="28" t="s">
        <v>63</v>
      </c>
      <c r="N13" s="28" t="s">
        <v>64</v>
      </c>
      <c r="O13" s="29" t="s">
        <v>70</v>
      </c>
      <c r="P13" s="30" t="s">
        <v>66</v>
      </c>
    </row>
    <row r="14" spans="1:16" ht="12.75" customHeight="1" thickBot="1" x14ac:dyDescent="0.25">
      <c r="A14" s="4" t="str">
        <f t="shared" si="0"/>
        <v>BAVM 139 </v>
      </c>
      <c r="B14" s="3" t="str">
        <f t="shared" si="1"/>
        <v>I</v>
      </c>
      <c r="C14" s="4">
        <f t="shared" si="2"/>
        <v>52144.528599999998</v>
      </c>
      <c r="D14" s="5" t="str">
        <f t="shared" si="3"/>
        <v>vis</v>
      </c>
      <c r="E14" s="26">
        <f>VLOOKUP(C14,Active!C$21:E$973,3,FALSE)</f>
        <v>-1039.0012916095598</v>
      </c>
      <c r="F14" s="3" t="s">
        <v>58</v>
      </c>
      <c r="G14" s="5" t="str">
        <f t="shared" si="4"/>
        <v>52144.5286</v>
      </c>
      <c r="H14" s="4">
        <f t="shared" si="5"/>
        <v>-1039</v>
      </c>
      <c r="I14" s="27" t="s">
        <v>83</v>
      </c>
      <c r="J14" s="28" t="s">
        <v>84</v>
      </c>
      <c r="K14" s="27">
        <v>-1039</v>
      </c>
      <c r="L14" s="27" t="s">
        <v>85</v>
      </c>
      <c r="M14" s="28" t="s">
        <v>63</v>
      </c>
      <c r="N14" s="28" t="s">
        <v>64</v>
      </c>
      <c r="O14" s="29" t="s">
        <v>70</v>
      </c>
      <c r="P14" s="30" t="s">
        <v>66</v>
      </c>
    </row>
    <row r="15" spans="1:16" ht="12.75" customHeight="1" thickBot="1" x14ac:dyDescent="0.25">
      <c r="A15" s="4" t="str">
        <f t="shared" si="0"/>
        <v>BAVM 139 </v>
      </c>
      <c r="B15" s="3" t="str">
        <f t="shared" si="1"/>
        <v>I</v>
      </c>
      <c r="C15" s="4">
        <f t="shared" si="2"/>
        <v>52176.361199999999</v>
      </c>
      <c r="D15" s="5" t="str">
        <f t="shared" si="3"/>
        <v>vis</v>
      </c>
      <c r="E15" s="26">
        <f>VLOOKUP(C15,Active!C$21:E$973,3,FALSE)</f>
        <v>-946.00131293674315</v>
      </c>
      <c r="F15" s="3" t="s">
        <v>58</v>
      </c>
      <c r="G15" s="5" t="str">
        <f t="shared" si="4"/>
        <v>52176.3612</v>
      </c>
      <c r="H15" s="4">
        <f t="shared" si="5"/>
        <v>-946</v>
      </c>
      <c r="I15" s="27" t="s">
        <v>86</v>
      </c>
      <c r="J15" s="28" t="s">
        <v>87</v>
      </c>
      <c r="K15" s="27">
        <v>-946</v>
      </c>
      <c r="L15" s="27" t="s">
        <v>88</v>
      </c>
      <c r="M15" s="28" t="s">
        <v>63</v>
      </c>
      <c r="N15" s="28" t="s">
        <v>64</v>
      </c>
      <c r="O15" s="29" t="s">
        <v>70</v>
      </c>
      <c r="P15" s="30" t="s">
        <v>66</v>
      </c>
    </row>
    <row r="16" spans="1:16" ht="12.75" customHeight="1" thickBot="1" x14ac:dyDescent="0.25">
      <c r="A16" s="4" t="str">
        <f t="shared" si="0"/>
        <v>BAVM 172 </v>
      </c>
      <c r="B16" s="3" t="str">
        <f t="shared" si="1"/>
        <v>I</v>
      </c>
      <c r="C16" s="4">
        <f t="shared" si="2"/>
        <v>52940.343200000003</v>
      </c>
      <c r="D16" s="5" t="str">
        <f t="shared" si="3"/>
        <v>vis</v>
      </c>
      <c r="E16" s="26">
        <f>VLOOKUP(C16,Active!C$21:E$973,3,FALSE)</f>
        <v>1285.9970065977154</v>
      </c>
      <c r="F16" s="3" t="s">
        <v>58</v>
      </c>
      <c r="G16" s="5" t="str">
        <f t="shared" si="4"/>
        <v>52940.3432</v>
      </c>
      <c r="H16" s="4">
        <f t="shared" si="5"/>
        <v>1286</v>
      </c>
      <c r="I16" s="27" t="s">
        <v>89</v>
      </c>
      <c r="J16" s="28" t="s">
        <v>90</v>
      </c>
      <c r="K16" s="27">
        <v>1286</v>
      </c>
      <c r="L16" s="27" t="s">
        <v>76</v>
      </c>
      <c r="M16" s="28" t="s">
        <v>63</v>
      </c>
      <c r="N16" s="28" t="s">
        <v>64</v>
      </c>
      <c r="O16" s="29" t="s">
        <v>91</v>
      </c>
      <c r="P16" s="30" t="s">
        <v>92</v>
      </c>
    </row>
    <row r="17" spans="1:16" ht="12.75" customHeight="1" thickBot="1" x14ac:dyDescent="0.25">
      <c r="A17" s="4" t="str">
        <f t="shared" si="0"/>
        <v>BAVM 183 </v>
      </c>
      <c r="B17" s="3" t="str">
        <f t="shared" si="1"/>
        <v>I</v>
      </c>
      <c r="C17" s="4">
        <f t="shared" si="2"/>
        <v>54025.391100000001</v>
      </c>
      <c r="D17" s="5" t="str">
        <f t="shared" si="3"/>
        <v>vis</v>
      </c>
      <c r="E17" s="26">
        <f>VLOOKUP(C17,Active!C$21:E$973,3,FALSE)</f>
        <v>4455.999820033604</v>
      </c>
      <c r="F17" s="3" t="s">
        <v>58</v>
      </c>
      <c r="G17" s="5" t="str">
        <f t="shared" si="4"/>
        <v>54025.3911</v>
      </c>
      <c r="H17" s="4">
        <f t="shared" si="5"/>
        <v>4456</v>
      </c>
      <c r="I17" s="27" t="s">
        <v>99</v>
      </c>
      <c r="J17" s="28" t="s">
        <v>100</v>
      </c>
      <c r="K17" s="27">
        <v>4456</v>
      </c>
      <c r="L17" s="27" t="s">
        <v>101</v>
      </c>
      <c r="M17" s="28" t="s">
        <v>96</v>
      </c>
      <c r="N17" s="28" t="s">
        <v>102</v>
      </c>
      <c r="O17" s="29" t="s">
        <v>103</v>
      </c>
      <c r="P17" s="30" t="s">
        <v>104</v>
      </c>
    </row>
    <row r="18" spans="1:16" ht="12.75" customHeight="1" thickBot="1" x14ac:dyDescent="0.25">
      <c r="A18" s="4" t="str">
        <f t="shared" si="0"/>
        <v>BAVM 183 </v>
      </c>
      <c r="B18" s="3" t="str">
        <f t="shared" si="1"/>
        <v>II</v>
      </c>
      <c r="C18" s="4">
        <f t="shared" si="2"/>
        <v>54025.565399999999</v>
      </c>
      <c r="D18" s="5" t="str">
        <f t="shared" si="3"/>
        <v>vis</v>
      </c>
      <c r="E18" s="26">
        <f>VLOOKUP(C18,Active!C$21:E$973,3,FALSE)</f>
        <v>4456.5090431659446</v>
      </c>
      <c r="F18" s="3" t="s">
        <v>58</v>
      </c>
      <c r="G18" s="5" t="str">
        <f t="shared" si="4"/>
        <v>54025.5654</v>
      </c>
      <c r="H18" s="4">
        <f t="shared" si="5"/>
        <v>4456.5</v>
      </c>
      <c r="I18" s="27" t="s">
        <v>105</v>
      </c>
      <c r="J18" s="28" t="s">
        <v>106</v>
      </c>
      <c r="K18" s="27" t="s">
        <v>107</v>
      </c>
      <c r="L18" s="27" t="s">
        <v>108</v>
      </c>
      <c r="M18" s="28" t="s">
        <v>96</v>
      </c>
      <c r="N18" s="28" t="s">
        <v>102</v>
      </c>
      <c r="O18" s="29" t="s">
        <v>103</v>
      </c>
      <c r="P18" s="30" t="s">
        <v>104</v>
      </c>
    </row>
    <row r="19" spans="1:16" ht="12.75" customHeight="1" thickBot="1" x14ac:dyDescent="0.25">
      <c r="A19" s="4" t="str">
        <f t="shared" si="0"/>
        <v>IBVS 5960 </v>
      </c>
      <c r="B19" s="3" t="str">
        <f t="shared" si="1"/>
        <v>I</v>
      </c>
      <c r="C19" s="4">
        <f t="shared" si="2"/>
        <v>55501.666599999997</v>
      </c>
      <c r="D19" s="5" t="str">
        <f t="shared" si="3"/>
        <v>vis</v>
      </c>
      <c r="E19" s="26">
        <f>VLOOKUP(C19,Active!C$21:E$973,3,FALSE)</f>
        <v>8768.9868212585916</v>
      </c>
      <c r="F19" s="3" t="s">
        <v>58</v>
      </c>
      <c r="G19" s="5" t="str">
        <f t="shared" si="4"/>
        <v>55501.6666</v>
      </c>
      <c r="H19" s="4">
        <f t="shared" si="5"/>
        <v>8769</v>
      </c>
      <c r="I19" s="27" t="s">
        <v>124</v>
      </c>
      <c r="J19" s="28" t="s">
        <v>125</v>
      </c>
      <c r="K19" s="27" t="s">
        <v>126</v>
      </c>
      <c r="L19" s="27" t="s">
        <v>127</v>
      </c>
      <c r="M19" s="28" t="s">
        <v>96</v>
      </c>
      <c r="N19" s="28" t="s">
        <v>58</v>
      </c>
      <c r="O19" s="29" t="s">
        <v>128</v>
      </c>
      <c r="P19" s="30" t="s">
        <v>129</v>
      </c>
    </row>
    <row r="20" spans="1:16" ht="12.75" customHeight="1" thickBot="1" x14ac:dyDescent="0.25">
      <c r="A20" s="4" t="str">
        <f t="shared" si="0"/>
        <v>BAVM 234 </v>
      </c>
      <c r="B20" s="3" t="str">
        <f t="shared" si="1"/>
        <v>I</v>
      </c>
      <c r="C20" s="4">
        <f t="shared" si="2"/>
        <v>56133.528400000003</v>
      </c>
      <c r="D20" s="5" t="str">
        <f t="shared" si="3"/>
        <v>vis</v>
      </c>
      <c r="E20" s="26">
        <f>VLOOKUP(C20,Active!C$21:E$973,3,FALSE)</f>
        <v>10614.991669249806</v>
      </c>
      <c r="F20" s="3" t="s">
        <v>58</v>
      </c>
      <c r="G20" s="5" t="str">
        <f t="shared" si="4"/>
        <v>56133.5284</v>
      </c>
      <c r="H20" s="4">
        <f t="shared" si="5"/>
        <v>10615</v>
      </c>
      <c r="I20" s="27" t="s">
        <v>130</v>
      </c>
      <c r="J20" s="28" t="s">
        <v>131</v>
      </c>
      <c r="K20" s="27" t="s">
        <v>132</v>
      </c>
      <c r="L20" s="27" t="s">
        <v>133</v>
      </c>
      <c r="M20" s="28" t="s">
        <v>96</v>
      </c>
      <c r="N20" s="28" t="s">
        <v>64</v>
      </c>
      <c r="O20" s="29" t="s">
        <v>70</v>
      </c>
      <c r="P20" s="30" t="s">
        <v>134</v>
      </c>
    </row>
    <row r="21" spans="1:16" ht="12.75" customHeight="1" thickBot="1" x14ac:dyDescent="0.25">
      <c r="A21" s="4" t="str">
        <f t="shared" si="0"/>
        <v>BAVM 139 </v>
      </c>
      <c r="B21" s="3" t="str">
        <f t="shared" si="1"/>
        <v>II</v>
      </c>
      <c r="C21" s="4">
        <f t="shared" si="2"/>
        <v>52123.478499999997</v>
      </c>
      <c r="D21" s="5" t="str">
        <f t="shared" si="3"/>
        <v>vis</v>
      </c>
      <c r="E21" s="26">
        <f>VLOOKUP(C21,Active!C$21:E$973,3,FALSE)</f>
        <v>-1100.4998450126934</v>
      </c>
      <c r="F21" s="3" t="s">
        <v>58</v>
      </c>
      <c r="G21" s="5" t="str">
        <f t="shared" si="4"/>
        <v>52123.4785</v>
      </c>
      <c r="H21" s="4">
        <f t="shared" si="5"/>
        <v>-1100.5</v>
      </c>
      <c r="I21" s="27" t="s">
        <v>67</v>
      </c>
      <c r="J21" s="28" t="s">
        <v>68</v>
      </c>
      <c r="K21" s="27">
        <v>-1100.5</v>
      </c>
      <c r="L21" s="27" t="s">
        <v>69</v>
      </c>
      <c r="M21" s="28" t="s">
        <v>63</v>
      </c>
      <c r="N21" s="28" t="s">
        <v>64</v>
      </c>
      <c r="O21" s="29" t="s">
        <v>70</v>
      </c>
      <c r="P21" s="30" t="s">
        <v>66</v>
      </c>
    </row>
    <row r="22" spans="1:16" ht="12.75" customHeight="1" thickBot="1" x14ac:dyDescent="0.25">
      <c r="A22" s="4" t="str">
        <f t="shared" si="0"/>
        <v>BAVM 139 </v>
      </c>
      <c r="B22" s="3" t="str">
        <f t="shared" si="1"/>
        <v>II</v>
      </c>
      <c r="C22" s="4">
        <f t="shared" si="2"/>
        <v>52135.459300000002</v>
      </c>
      <c r="D22" s="5" t="str">
        <f t="shared" si="3"/>
        <v>vis</v>
      </c>
      <c r="E22" s="26">
        <f>VLOOKUP(C22,Active!C$21:E$973,3,FALSE)</f>
        <v>-1065.4975472272888</v>
      </c>
      <c r="F22" s="3" t="s">
        <v>58</v>
      </c>
      <c r="G22" s="5" t="str">
        <f t="shared" si="4"/>
        <v>52135.4593</v>
      </c>
      <c r="H22" s="4">
        <f t="shared" si="5"/>
        <v>-1065.5</v>
      </c>
      <c r="I22" s="27" t="s">
        <v>74</v>
      </c>
      <c r="J22" s="28" t="s">
        <v>75</v>
      </c>
      <c r="K22" s="27">
        <v>-1065.5</v>
      </c>
      <c r="L22" s="27" t="s">
        <v>76</v>
      </c>
      <c r="M22" s="28" t="s">
        <v>63</v>
      </c>
      <c r="N22" s="28" t="s">
        <v>64</v>
      </c>
      <c r="O22" s="29" t="s">
        <v>70</v>
      </c>
      <c r="P22" s="30" t="s">
        <v>66</v>
      </c>
    </row>
    <row r="23" spans="1:16" ht="12.75" customHeight="1" thickBot="1" x14ac:dyDescent="0.25">
      <c r="A23" s="4" t="str">
        <f t="shared" si="0"/>
        <v>BAVM 139 </v>
      </c>
      <c r="B23" s="3" t="str">
        <f t="shared" si="1"/>
        <v>II</v>
      </c>
      <c r="C23" s="4">
        <f t="shared" si="2"/>
        <v>52136.486100000002</v>
      </c>
      <c r="D23" s="5" t="str">
        <f t="shared" si="3"/>
        <v>vis</v>
      </c>
      <c r="E23" s="26">
        <f>VLOOKUP(C23,Active!C$21:E$973,3,FALSE)</f>
        <v>-1062.4977175526406</v>
      </c>
      <c r="F23" s="3" t="s">
        <v>58</v>
      </c>
      <c r="G23" s="5" t="str">
        <f t="shared" si="4"/>
        <v>52136.4861</v>
      </c>
      <c r="H23" s="4">
        <f t="shared" si="5"/>
        <v>-1062.5</v>
      </c>
      <c r="I23" s="27" t="s">
        <v>77</v>
      </c>
      <c r="J23" s="28" t="s">
        <v>78</v>
      </c>
      <c r="K23" s="27">
        <v>-1062.5</v>
      </c>
      <c r="L23" s="27" t="s">
        <v>79</v>
      </c>
      <c r="M23" s="28" t="s">
        <v>63</v>
      </c>
      <c r="N23" s="28" t="s">
        <v>64</v>
      </c>
      <c r="O23" s="29" t="s">
        <v>70</v>
      </c>
      <c r="P23" s="30" t="s">
        <v>66</v>
      </c>
    </row>
    <row r="24" spans="1:16" ht="12.75" customHeight="1" thickBot="1" x14ac:dyDescent="0.25">
      <c r="A24" s="4" t="str">
        <f t="shared" si="0"/>
        <v>BAVM 203 </v>
      </c>
      <c r="B24" s="3" t="str">
        <f t="shared" si="1"/>
        <v>I</v>
      </c>
      <c r="C24" s="4">
        <f t="shared" si="2"/>
        <v>53621.493999999999</v>
      </c>
      <c r="D24" s="5" t="str">
        <f t="shared" si="3"/>
        <v>vis</v>
      </c>
      <c r="E24" s="26">
        <f>VLOOKUP(C24,Active!C$21:E$973,3,FALSE)</f>
        <v>3276.0012749568332</v>
      </c>
      <c r="F24" s="3" t="s">
        <v>58</v>
      </c>
      <c r="G24" s="5" t="str">
        <f t="shared" si="4"/>
        <v>53621.4940</v>
      </c>
      <c r="H24" s="4">
        <f t="shared" si="5"/>
        <v>3276</v>
      </c>
      <c r="I24" s="27" t="s">
        <v>93</v>
      </c>
      <c r="J24" s="28" t="s">
        <v>94</v>
      </c>
      <c r="K24" s="27">
        <v>3276</v>
      </c>
      <c r="L24" s="27" t="s">
        <v>95</v>
      </c>
      <c r="M24" s="28" t="s">
        <v>96</v>
      </c>
      <c r="N24" s="28" t="s">
        <v>64</v>
      </c>
      <c r="O24" s="29" t="s">
        <v>97</v>
      </c>
      <c r="P24" s="30" t="s">
        <v>98</v>
      </c>
    </row>
    <row r="25" spans="1:16" ht="12.75" customHeight="1" thickBot="1" x14ac:dyDescent="0.25">
      <c r="A25" s="4" t="str">
        <f t="shared" si="0"/>
        <v>VSB 46 </v>
      </c>
      <c r="B25" s="3" t="str">
        <f t="shared" si="1"/>
        <v>I</v>
      </c>
      <c r="C25" s="4">
        <f t="shared" si="2"/>
        <v>54417.994700000003</v>
      </c>
      <c r="D25" s="5" t="str">
        <f t="shared" si="3"/>
        <v>vis</v>
      </c>
      <c r="E25" s="26">
        <f>VLOOKUP(C25,Active!C$21:E$973,3,FALSE)</f>
        <v>5603.0040366816129</v>
      </c>
      <c r="F25" s="3" t="s">
        <v>58</v>
      </c>
      <c r="G25" s="5" t="str">
        <f t="shared" si="4"/>
        <v>54417.9947</v>
      </c>
      <c r="H25" s="4">
        <f t="shared" si="5"/>
        <v>5603</v>
      </c>
      <c r="I25" s="27" t="s">
        <v>109</v>
      </c>
      <c r="J25" s="28" t="s">
        <v>110</v>
      </c>
      <c r="K25" s="27" t="s">
        <v>111</v>
      </c>
      <c r="L25" s="27" t="s">
        <v>112</v>
      </c>
      <c r="M25" s="28" t="s">
        <v>96</v>
      </c>
      <c r="N25" s="28" t="s">
        <v>113</v>
      </c>
      <c r="O25" s="29" t="s">
        <v>114</v>
      </c>
      <c r="P25" s="30" t="s">
        <v>115</v>
      </c>
    </row>
    <row r="26" spans="1:16" ht="12.75" customHeight="1" thickBot="1" x14ac:dyDescent="0.25">
      <c r="A26" s="4" t="str">
        <f t="shared" si="0"/>
        <v>BAVM 203 </v>
      </c>
      <c r="B26" s="3" t="str">
        <f t="shared" si="1"/>
        <v>I</v>
      </c>
      <c r="C26" s="4">
        <f t="shared" si="2"/>
        <v>54704.4853</v>
      </c>
      <c r="D26" s="5" t="str">
        <f t="shared" si="3"/>
        <v>vis</v>
      </c>
      <c r="E26" s="26">
        <f>VLOOKUP(C26,Active!C$21:E$973,3,FALSE)</f>
        <v>6439.9956644456306</v>
      </c>
      <c r="F26" s="3" t="s">
        <v>58</v>
      </c>
      <c r="G26" s="5" t="str">
        <f t="shared" si="4"/>
        <v>54704.4853</v>
      </c>
      <c r="H26" s="4">
        <f t="shared" si="5"/>
        <v>6440</v>
      </c>
      <c r="I26" s="27" t="s">
        <v>116</v>
      </c>
      <c r="J26" s="28" t="s">
        <v>117</v>
      </c>
      <c r="K26" s="27" t="s">
        <v>118</v>
      </c>
      <c r="L26" s="27" t="s">
        <v>119</v>
      </c>
      <c r="M26" s="28" t="s">
        <v>96</v>
      </c>
      <c r="N26" s="28" t="s">
        <v>102</v>
      </c>
      <c r="O26" s="29" t="s">
        <v>103</v>
      </c>
      <c r="P26" s="30" t="s">
        <v>98</v>
      </c>
    </row>
    <row r="27" spans="1:16" ht="12.75" customHeight="1" thickBot="1" x14ac:dyDescent="0.25">
      <c r="A27" s="4" t="str">
        <f t="shared" si="0"/>
        <v>BAVM 203 </v>
      </c>
      <c r="B27" s="3" t="str">
        <f t="shared" si="1"/>
        <v>I</v>
      </c>
      <c r="C27" s="4">
        <f t="shared" si="2"/>
        <v>54763.360999999997</v>
      </c>
      <c r="D27" s="5" t="str">
        <f t="shared" si="3"/>
        <v>vis</v>
      </c>
      <c r="E27" s="26">
        <f>VLOOKUP(C27,Active!C$21:E$973,3,FALSE)</f>
        <v>6612.0029413990242</v>
      </c>
      <c r="F27" s="3" t="s">
        <v>58</v>
      </c>
      <c r="G27" s="5" t="str">
        <f t="shared" si="4"/>
        <v>54763.3610</v>
      </c>
      <c r="H27" s="4">
        <f t="shared" si="5"/>
        <v>6612</v>
      </c>
      <c r="I27" s="27" t="s">
        <v>120</v>
      </c>
      <c r="J27" s="28" t="s">
        <v>121</v>
      </c>
      <c r="K27" s="27" t="s">
        <v>122</v>
      </c>
      <c r="L27" s="27" t="s">
        <v>123</v>
      </c>
      <c r="M27" s="28" t="s">
        <v>96</v>
      </c>
      <c r="N27" s="28" t="s">
        <v>58</v>
      </c>
      <c r="O27" s="29" t="s">
        <v>103</v>
      </c>
      <c r="P27" s="30" t="s">
        <v>98</v>
      </c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</sheetData>
  <phoneticPr fontId="7" type="noConversion"/>
  <hyperlinks>
    <hyperlink ref="P11" r:id="rId1" display="http://www.bav-astro.de/sfs/BAVM_link.php?BAVMnr=139"/>
    <hyperlink ref="P21" r:id="rId2" display="http://www.bav-astro.de/sfs/BAVM_link.php?BAVMnr=139"/>
    <hyperlink ref="P12" r:id="rId3" display="http://www.bav-astro.de/sfs/BAVM_link.php?BAVMnr=139"/>
    <hyperlink ref="P22" r:id="rId4" display="http://www.bav-astro.de/sfs/BAVM_link.php?BAVMnr=139"/>
    <hyperlink ref="P23" r:id="rId5" display="http://www.bav-astro.de/sfs/BAVM_link.php?BAVMnr=139"/>
    <hyperlink ref="P13" r:id="rId6" display="http://www.bav-astro.de/sfs/BAVM_link.php?BAVMnr=139"/>
    <hyperlink ref="P14" r:id="rId7" display="http://www.bav-astro.de/sfs/BAVM_link.php?BAVMnr=139"/>
    <hyperlink ref="P15" r:id="rId8" display="http://www.bav-astro.de/sfs/BAVM_link.php?BAVMnr=139"/>
    <hyperlink ref="P16" r:id="rId9" display="http://www.bav-astro.de/sfs/BAVM_link.php?BAVMnr=172"/>
    <hyperlink ref="P24" r:id="rId10" display="http://www.bav-astro.de/sfs/BAVM_link.php?BAVMnr=203"/>
    <hyperlink ref="P17" r:id="rId11" display="http://www.bav-astro.de/sfs/BAVM_link.php?BAVMnr=183"/>
    <hyperlink ref="P18" r:id="rId12" display="http://www.bav-astro.de/sfs/BAVM_link.php?BAVMnr=183"/>
    <hyperlink ref="P25" r:id="rId13" display="http://vsolj.cetus-net.org/no46.pdf"/>
    <hyperlink ref="P26" r:id="rId14" display="http://www.bav-astro.de/sfs/BAVM_link.php?BAVMnr=203"/>
    <hyperlink ref="P27" r:id="rId15" display="http://www.bav-astro.de/sfs/BAVM_link.php?BAVMnr=203"/>
    <hyperlink ref="P19" r:id="rId16" display="http://www.konkoly.hu/cgi-bin/IBVS?5960"/>
    <hyperlink ref="P20" r:id="rId17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2024-03-02T05:45:58Z</dcterms:modified>
</cp:coreProperties>
</file>