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3143D7B-348F-4FA4-8A08-AE3AE3DECE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6" i="1"/>
  <c r="F26" i="1"/>
  <c r="G26" i="1" s="1"/>
  <c r="K26" i="1" s="1"/>
  <c r="Q26" i="1"/>
  <c r="C9" i="1"/>
  <c r="D9" i="1"/>
  <c r="F16" i="1"/>
  <c r="F17" i="1" s="1"/>
  <c r="C17" i="1"/>
  <c r="E21" i="1"/>
  <c r="F21" i="1"/>
  <c r="G21" i="1"/>
  <c r="I21" i="1"/>
  <c r="Q21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K24" i="1"/>
  <c r="Q24" i="1"/>
  <c r="C11" i="1"/>
  <c r="C12" i="1"/>
  <c r="O26" i="1" l="1"/>
  <c r="O25" i="1"/>
  <c r="O21" i="1"/>
  <c r="O24" i="1"/>
  <c r="O23" i="1"/>
  <c r="C15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<sst xmlns="http://schemas.openxmlformats.org/spreadsheetml/2006/main" count="62" uniqueCount="51">
  <si>
    <t>V0568 Peg / GSC 2755-0504</t>
  </si>
  <si>
    <t>V0568 Peg</t>
  </si>
  <si>
    <t>2018L</t>
  </si>
  <si>
    <t>G2755-0504</t>
  </si>
  <si>
    <t>EW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</si>
  <si>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</si>
  <si>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</si>
  <si>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</si>
  <si>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</si>
  <si>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</si>
  <si>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</si>
  <si>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GCVS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</si>
  <si>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</si>
  <si>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</si>
  <si>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</si>
  <si>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</si>
  <si>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</si>
  <si>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</si>
  <si>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</si>
  <si>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</si>
  <si>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</si>
  <si>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</si>
  <si>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</si>
  <si>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</si>
  <si>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</si>
  <si>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</si>
  <si>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</si>
  <si>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</si>
  <si>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</si>
  <si>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</si>
  <si>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</si>
  <si>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</si>
  <si>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</si>
  <si>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</si>
  <si>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</si>
  <si>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</si>
  <si>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</si>
  <si>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</si>
  <si>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</si>
  <si>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</si>
  <si>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</si>
  <si>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</si>
  <si>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</si>
  <si>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</si>
  <si>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</si>
  <si>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</si>
  <si>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</si>
  <si>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6244</t>
  </si>
  <si>
    <t>I</t>
  </si>
  <si>
    <t>OEJV 0211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</si>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</sst>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dd/mm/yyyy"/>
  </numFmts>
  <fonts count="29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35"/>
        <bgColor indexed="41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27" fillId="0" borderId="0" applyFill="0" applyBorder="0" applyProtection="0">
      <alignment vertical="top"/>
    </xf>
    <xf numFmtId="164" fontId="27" fillId="0" borderId="0" applyFill="0" applyBorder="0" applyProtection="0">
      <alignment vertical="top"/>
    </xf>
    <xf numFmtId="0" fontId="27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27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27" fillId="0" borderId="0"/>
    <xf numFmtId="0" fontId="27" fillId="0" borderId="0"/>
    <xf numFmtId="0" fontId="27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27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47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24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8" xfId="0" applyFont="1" applyBorder="1">
      <alignment vertical="top"/>
    </xf>
    <xf numFmtId="0" fontId="18" fillId="24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22" borderId="5" xfId="0" applyFill="1" applyBorder="1" applyAlignment="1">
      <alignment horizontal="left"/>
    </xf>
    <xf numFmtId="0" fontId="0" fillId="0" borderId="5" xfId="0" applyBorder="1">
      <alignment vertical="top"/>
    </xf>
    <xf numFmtId="0" fontId="0" fillId="0" borderId="0" xfId="0" applyAlignment="1">
      <alignment horizontal="left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167" fontId="0" fillId="0" borderId="0" xfId="0" applyNumberFormat="1" applyAlignment="1"/>
    <xf numFmtId="0" fontId="0" fillId="0" borderId="0" xfId="0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165" fontId="24" fillId="0" borderId="0" xfId="0" applyNumberFormat="1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67" fontId="0" fillId="0" borderId="0" xfId="0" applyNumberFormat="1" applyAlignment="1">
      <alignment vertical="center"/>
    </xf>
    <xf numFmtId="0" fontId="26" fillId="0" borderId="0" xfId="42" applyFont="1" applyAlignment="1">
      <alignment vertical="center"/>
    </xf>
    <xf numFmtId="0" fontId="26" fillId="0" borderId="0" xfId="42" applyFont="1" applyAlignment="1">
      <alignment horizontal="center" vertical="center" wrapText="1"/>
    </xf>
    <xf numFmtId="0" fontId="26" fillId="0" borderId="0" xfId="42" applyFont="1" applyAlignment="1">
      <alignment horizontal="left" vertical="center" wrapText="1"/>
    </xf>
    <xf numFmtId="0" fontId="26" fillId="0" borderId="0" xfId="41" applyFont="1" applyAlignment="1">
      <alignment vertical="center"/>
    </xf>
    <xf numFmtId="0" fontId="26" fillId="0" borderId="0" xfId="41" applyFont="1" applyAlignment="1">
      <alignment horizontal="center" vertical="center"/>
    </xf>
    <xf numFmtId="0" fontId="26" fillId="0" borderId="0" xfId="41" applyFont="1" applyAlignment="1">
      <alignment horizontal="left" vertical="center"/>
    </xf>
    <xf numFmtId="0" fontId="0" fillId="0" borderId="0" xfId="0" applyAlignment="1">
      <alignment horizontal="right" vertical="center"/>
    </xf>
    <xf numFmtId="166" fontId="28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69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V0568 Peg - O-C Diagr.</a:t>
            </a:r>
          </a:p>
        </c:rich>
      </c:tx>
      <c:layout>
        <c:manualLayout>
          <c:xMode val="edge"/>
          <c:yMode val="edge"/>
          <c:x val="0.3573578302712160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64780528560056"/>
          <c:y val="0.1361367666879478"/>
          <c:w val="0.80430556540792764"/>
          <c:h val="0.6476492240271768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26408.5</c:v>
                </c:pt>
                <c:pt idx="2">
                  <c:v>26409</c:v>
                </c:pt>
                <c:pt idx="3">
                  <c:v>25497.5</c:v>
                </c:pt>
              </c:numCache>
            </c:numRef>
          </c:xVal>
          <c:yVal>
            <c:numRef>
              <c:f>Active!$H$21:$H$24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9E-4E66-8E1E-39497E3C12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26408.5</c:v>
                </c:pt>
                <c:pt idx="2">
                  <c:v>26409</c:v>
                </c:pt>
                <c:pt idx="3">
                  <c:v>25497.5</c:v>
                </c:pt>
              </c:numCache>
            </c:numRef>
          </c:xVal>
          <c:yVal>
            <c:numRef>
              <c:f>Active!$I$21:$I$24</c:f>
              <c:numCache>
                <c:formatCode>General</c:formatCode>
                <c:ptCount val="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9E-4E66-8E1E-39497E3C125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26408.5</c:v>
                </c:pt>
                <c:pt idx="2">
                  <c:v>26409</c:v>
                </c:pt>
                <c:pt idx="3">
                  <c:v>25497.5</c:v>
                </c:pt>
              </c:numCache>
            </c:numRef>
          </c:xVal>
          <c:yVal>
            <c:numRef>
              <c:f>Active!$J$21:$J$24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9E-4E66-8E1E-39497E3C125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26408.5</c:v>
                </c:pt>
                <c:pt idx="2">
                  <c:v>26409</c:v>
                </c:pt>
                <c:pt idx="3">
                  <c:v>25497.5</c:v>
                </c:pt>
                <c:pt idx="4">
                  <c:v>32403</c:v>
                </c:pt>
                <c:pt idx="5">
                  <c:v>32403.5</c:v>
                </c:pt>
              </c:numCache>
            </c:numRef>
          </c:xVal>
          <c:yVal>
            <c:numRef>
              <c:f>Active!$K$21:$K$500</c:f>
              <c:numCache>
                <c:formatCode>General</c:formatCode>
                <c:ptCount val="480"/>
                <c:pt idx="1">
                  <c:v>4.2670999995607417E-2</c:v>
                </c:pt>
                <c:pt idx="2">
                  <c:v>4.3633999994199257E-2</c:v>
                </c:pt>
                <c:pt idx="3">
                  <c:v>3.8824999828648288E-2</c:v>
                </c:pt>
                <c:pt idx="4">
                  <c:v>-5.0821999997424427E-2</c:v>
                </c:pt>
                <c:pt idx="5">
                  <c:v>-5.1358999997319188E-2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9E-4E66-8E1E-39497E3C125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26408.5</c:v>
                </c:pt>
                <c:pt idx="2">
                  <c:v>26409</c:v>
                </c:pt>
                <c:pt idx="3">
                  <c:v>25497.5</c:v>
                </c:pt>
              </c:numCache>
            </c:numRef>
          </c:xVal>
          <c:yVal>
            <c:numRef>
              <c:f>Active!$L$21:$L$24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9E-4E66-8E1E-39497E3C12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26408.5</c:v>
                </c:pt>
                <c:pt idx="2">
                  <c:v>26409</c:v>
                </c:pt>
                <c:pt idx="3">
                  <c:v>25497.5</c:v>
                </c:pt>
              </c:numCache>
            </c:numRef>
          </c:xVal>
          <c:yVal>
            <c:numRef>
              <c:f>Active!$M$21:$M$24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9E-4E66-8E1E-39497E3C12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26408.5</c:v>
                </c:pt>
                <c:pt idx="2">
                  <c:v>26409</c:v>
                </c:pt>
                <c:pt idx="3">
                  <c:v>25497.5</c:v>
                </c:pt>
              </c:numCache>
            </c:numRef>
          </c:xVal>
          <c:yVal>
            <c:numRef>
              <c:f>Active!$N$21:$N$24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9E-4E66-8E1E-39497E3C12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26408.5</c:v>
                </c:pt>
                <c:pt idx="2">
                  <c:v>26409</c:v>
                </c:pt>
                <c:pt idx="3">
                  <c:v>25497.5</c:v>
                </c:pt>
              </c:numCache>
            </c:numRef>
          </c:xVal>
          <c:yVal>
            <c:numRef>
              <c:f>Active!$O$21:$O$24</c:f>
              <c:numCache>
                <c:formatCode>General</c:formatCode>
                <c:ptCount val="4"/>
                <c:pt idx="0">
                  <c:v>2.3054775811761144E-2</c:v>
                </c:pt>
                <c:pt idx="1">
                  <c:v>1.7651469278765868E-3</c:v>
                </c:pt>
                <c:pt idx="2">
                  <c:v>1.7647438449888038E-3</c:v>
                </c:pt>
                <c:pt idx="3">
                  <c:v>2.4995639494120314E-3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9E-4E66-8E1E-39497E3C125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26408.5</c:v>
                </c:pt>
                <c:pt idx="2">
                  <c:v>26409</c:v>
                </c:pt>
                <c:pt idx="3">
                  <c:v>25497.5</c:v>
                </c:pt>
              </c:numCache>
            </c:numRef>
          </c:xVal>
          <c:yVal>
            <c:numRef>
              <c:f>Active!$U$21:$U$24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9E-4E66-8E1E-39497E3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317624"/>
        <c:axId val="1"/>
      </c:scatterChart>
      <c:valAx>
        <c:axId val="748317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83176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19551047110101"/>
          <c:y val="0.91291543512015949"/>
          <c:w val="0.7132143166788835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60D47EE-398E-BB83-5DF0-CDA11BAEB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0.1406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1"/>
  </cols>
  <sheetData>
    <row r="1" spans="1:17" ht="20.25" x14ac:dyDescent="0.3">
      <c r="A1" s="2" t="s">
        <v>0</v>
      </c>
      <c r="F1" s="3" t="s">
        <v>1</v>
      </c>
      <c r="G1" s="4" t="s">
        <v>2</v>
      </c>
      <c r="H1" s="5"/>
      <c r="I1" s="6" t="s">
        <v>3</v>
      </c>
      <c r="J1" s="7" t="s">
        <v>1</v>
      </c>
      <c r="K1" s="8">
        <v>23.081299999999999</v>
      </c>
      <c r="L1" s="9">
        <v>33.0304</v>
      </c>
      <c r="M1" s="10">
        <v>51455.514000000003</v>
      </c>
      <c r="N1" s="10">
        <v>0.24707399999999999</v>
      </c>
      <c r="O1" s="11" t="s">
        <v>4</v>
      </c>
      <c r="P1" s="9">
        <v>12.9</v>
      </c>
      <c r="Q1" s="9">
        <v>13.35</v>
      </c>
    </row>
    <row r="2" spans="1:17" s="16" customFormat="1" ht="12.95" customHeight="1" x14ac:dyDescent="0.2">
      <c r="A2" s="16" t="s">
        <v>5</v>
      </c>
      <c r="B2" s="16" t="s">
        <v>4</v>
      </c>
      <c r="C2" s="17"/>
      <c r="D2" s="18"/>
    </row>
    <row r="3" spans="1:17" s="16" customFormat="1" ht="12.95" customHeight="1" x14ac:dyDescent="0.2"/>
    <row r="4" spans="1:17" s="16" customFormat="1" ht="12.95" customHeight="1" x14ac:dyDescent="0.2">
      <c r="A4" s="19" t="s">
        <v>6</v>
      </c>
      <c r="C4" s="20">
        <v>51455.514000000003</v>
      </c>
      <c r="D4" s="21">
        <v>0.24707399999999999</v>
      </c>
    </row>
    <row r="5" spans="1:17" s="16" customFormat="1" ht="12.95" customHeight="1" x14ac:dyDescent="0.2">
      <c r="A5" s="22" t="s">
        <v>7</v>
      </c>
      <c r="C5" s="23">
        <v>-9.5</v>
      </c>
      <c r="D5" s="16" t="s">
        <v>8</v>
      </c>
    </row>
    <row r="6" spans="1:17" s="16" customFormat="1" ht="12.95" customHeight="1" x14ac:dyDescent="0.2">
      <c r="A6" s="19" t="s">
        <v>9</v>
      </c>
    </row>
    <row r="7" spans="1:17" s="16" customFormat="1" ht="12.95" customHeight="1" x14ac:dyDescent="0.2">
      <c r="A7" s="16" t="s">
        <v>10</v>
      </c>
      <c r="C7" s="44">
        <v>51455.514000000003</v>
      </c>
      <c r="D7" s="25" t="s">
        <v>11</v>
      </c>
    </row>
    <row r="8" spans="1:17" s="16" customFormat="1" ht="12.95" customHeight="1" x14ac:dyDescent="0.2">
      <c r="A8" s="16" t="s">
        <v>12</v>
      </c>
      <c r="C8" s="44">
        <v>0.24707399999999999</v>
      </c>
      <c r="D8" s="25" t="s">
        <v>11</v>
      </c>
    </row>
    <row r="9" spans="1:17" s="16" customFormat="1" ht="12.95" customHeight="1" x14ac:dyDescent="0.2">
      <c r="A9" s="26" t="s">
        <v>13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17" s="16" customFormat="1" ht="12.95" customHeight="1" x14ac:dyDescent="0.2">
      <c r="C10" s="30" t="s">
        <v>14</v>
      </c>
      <c r="D10" s="30" t="s">
        <v>15</v>
      </c>
    </row>
    <row r="11" spans="1:17" s="16" customFormat="1" ht="12.95" customHeight="1" x14ac:dyDescent="0.2">
      <c r="A11" s="16" t="s">
        <v>16</v>
      </c>
      <c r="C11" s="29">
        <f ca="1">INTERCEPT(INDIRECT($D$9):G992,INDIRECT($C$9):F992)</f>
        <v>2.3054775811761144E-2</v>
      </c>
      <c r="D11" s="18"/>
    </row>
    <row r="12" spans="1:17" s="16" customFormat="1" ht="12.95" customHeight="1" x14ac:dyDescent="0.2">
      <c r="A12" s="16" t="s">
        <v>17</v>
      </c>
      <c r="C12" s="29">
        <f ca="1">SLOPE(INDIRECT($D$9):G992,INDIRECT($C$9):F992)</f>
        <v>-8.0616577556031425E-7</v>
      </c>
      <c r="D12" s="18"/>
    </row>
    <row r="13" spans="1:17" s="16" customFormat="1" ht="12.95" customHeight="1" x14ac:dyDescent="0.2">
      <c r="A13" s="16" t="s">
        <v>18</v>
      </c>
      <c r="C13" s="18" t="s">
        <v>19</v>
      </c>
    </row>
    <row r="14" spans="1:17" s="16" customFormat="1" ht="12.95" customHeight="1" x14ac:dyDescent="0.2"/>
    <row r="15" spans="1:17" s="16" customFormat="1" ht="12.95" customHeight="1" x14ac:dyDescent="0.2">
      <c r="A15" s="19" t="s">
        <v>20</v>
      </c>
      <c r="C15" s="31">
        <f ca="1">(C7+C11)+(C8+C12)*INT(MAX(F21:F3533))</f>
        <v>59461.449754586189</v>
      </c>
      <c r="E15" s="26" t="s">
        <v>21</v>
      </c>
      <c r="F15" s="27">
        <v>1</v>
      </c>
    </row>
    <row r="16" spans="1:17" s="16" customFormat="1" ht="12.95" customHeight="1" x14ac:dyDescent="0.2">
      <c r="A16" s="19" t="s">
        <v>22</v>
      </c>
      <c r="C16" s="31">
        <f ca="1">+C8+C12</f>
        <v>0.24707319383422444</v>
      </c>
      <c r="E16" s="26" t="s">
        <v>23</v>
      </c>
      <c r="F16" s="31">
        <f ca="1">NOW()+15018.5+$C$5/24</f>
        <v>60371.812724189811</v>
      </c>
    </row>
    <row r="17" spans="1:21" s="16" customFormat="1" ht="12.95" customHeight="1" x14ac:dyDescent="0.2">
      <c r="A17" s="26" t="s">
        <v>24</v>
      </c>
      <c r="C17" s="16">
        <f>COUNT(C21:C2191)</f>
        <v>6</v>
      </c>
      <c r="E17" s="26" t="s">
        <v>25</v>
      </c>
      <c r="F17" s="29">
        <f ca="1">ROUND(2*(F16-$C$7)/$C$8,0)/2+F15</f>
        <v>36088.5</v>
      </c>
    </row>
    <row r="18" spans="1:21" s="16" customFormat="1" ht="12.95" customHeight="1" x14ac:dyDescent="0.2">
      <c r="A18" s="19" t="s">
        <v>26</v>
      </c>
      <c r="C18" s="32">
        <f ca="1">+C15</f>
        <v>59461.449754586189</v>
      </c>
      <c r="D18" s="33">
        <f ca="1">+C16</f>
        <v>0.24707319383422444</v>
      </c>
      <c r="E18" s="26" t="s">
        <v>27</v>
      </c>
      <c r="F18" s="29">
        <f ca="1">ROUND(2*(F16-$C$15)/$C$16,0)/2+F15</f>
        <v>3685.5</v>
      </c>
    </row>
    <row r="19" spans="1:21" s="16" customFormat="1" ht="12.95" customHeight="1" x14ac:dyDescent="0.2">
      <c r="E19" s="26" t="s">
        <v>28</v>
      </c>
      <c r="F19" s="34">
        <f ca="1">+$C$15+$C$16*F18-15018.5-$C$5/24</f>
        <v>45353.933843795559</v>
      </c>
    </row>
    <row r="20" spans="1:21" s="16" customFormat="1" ht="12.95" customHeight="1" x14ac:dyDescent="0.2">
      <c r="A20" s="30" t="s">
        <v>29</v>
      </c>
      <c r="B20" s="30" t="s">
        <v>30</v>
      </c>
      <c r="C20" s="30" t="s">
        <v>31</v>
      </c>
      <c r="D20" s="30" t="s">
        <v>32</v>
      </c>
      <c r="E20" s="30" t="s">
        <v>33</v>
      </c>
      <c r="F20" s="30" t="s">
        <v>34</v>
      </c>
      <c r="G20" s="30" t="s">
        <v>35</v>
      </c>
      <c r="H20" s="35" t="s">
        <v>36</v>
      </c>
      <c r="I20" s="35" t="s">
        <v>37</v>
      </c>
      <c r="J20" s="35" t="s">
        <v>38</v>
      </c>
      <c r="K20" s="35" t="s">
        <v>39</v>
      </c>
      <c r="L20" s="35" t="s">
        <v>40</v>
      </c>
      <c r="M20" s="35" t="s">
        <v>41</v>
      </c>
      <c r="N20" s="35" t="s">
        <v>42</v>
      </c>
      <c r="O20" s="35" t="s">
        <v>43</v>
      </c>
      <c r="P20" s="35" t="s">
        <v>44</v>
      </c>
      <c r="Q20" s="30" t="s">
        <v>45</v>
      </c>
      <c r="U20" s="36" t="s">
        <v>46</v>
      </c>
    </row>
    <row r="21" spans="1:21" s="16" customFormat="1" ht="12.95" customHeight="1" x14ac:dyDescent="0.2">
      <c r="A21" s="16" t="s">
        <v>11</v>
      </c>
      <c r="C21" s="24">
        <v>51455.514000000003</v>
      </c>
      <c r="D21" s="24" t="s">
        <v>19</v>
      </c>
      <c r="E21" s="16">
        <f>+(C21-C$7)/C$8</f>
        <v>0</v>
      </c>
      <c r="F21" s="16">
        <f>ROUND(2*E21,0)/2</f>
        <v>0</v>
      </c>
      <c r="G21" s="16">
        <f>+C21-(C$7+F21*C$8)</f>
        <v>0</v>
      </c>
      <c r="I21" s="16">
        <f>+G21</f>
        <v>0</v>
      </c>
      <c r="O21" s="16">
        <f ca="1">+C$11+C$12*$F21</f>
        <v>2.3054775811761144E-2</v>
      </c>
      <c r="Q21" s="37">
        <f>+C21-15018.5</f>
        <v>36437.014000000003</v>
      </c>
    </row>
    <row r="22" spans="1:21" s="16" customFormat="1" ht="12.95" customHeight="1" x14ac:dyDescent="0.2">
      <c r="A22" s="38" t="s">
        <v>47</v>
      </c>
      <c r="B22" s="39" t="s">
        <v>48</v>
      </c>
      <c r="C22" s="40">
        <v>57980.410400000001</v>
      </c>
      <c r="D22" s="40">
        <v>1E-3</v>
      </c>
      <c r="E22" s="16">
        <f>+(C22-C$7)/C$8</f>
        <v>26408.672705343331</v>
      </c>
      <c r="F22" s="16">
        <f>ROUND(2*E22,0)/2</f>
        <v>26408.5</v>
      </c>
      <c r="G22" s="16">
        <f>+C22-(C$7+F22*C$8)</f>
        <v>4.2670999995607417E-2</v>
      </c>
      <c r="K22" s="16">
        <f>+G22</f>
        <v>4.2670999995607417E-2</v>
      </c>
      <c r="O22" s="16">
        <f ca="1">+C$11+C$12*$F22</f>
        <v>1.7651469278765868E-3</v>
      </c>
      <c r="Q22" s="37">
        <f>+C22-15018.5</f>
        <v>42961.910400000001</v>
      </c>
    </row>
    <row r="23" spans="1:21" s="16" customFormat="1" ht="12.95" customHeight="1" x14ac:dyDescent="0.2">
      <c r="A23" s="38" t="s">
        <v>47</v>
      </c>
      <c r="B23" s="39" t="s">
        <v>48</v>
      </c>
      <c r="C23" s="40">
        <v>57980.534899999999</v>
      </c>
      <c r="D23" s="40">
        <v>3.3999999999999998E-3</v>
      </c>
      <c r="E23" s="16">
        <f>+(C23-C$7)/C$8</f>
        <v>26409.176602961041</v>
      </c>
      <c r="F23" s="16">
        <f>ROUND(2*E23,0)/2</f>
        <v>26409</v>
      </c>
      <c r="G23" s="16">
        <f>+C23-(C$7+F23*C$8)</f>
        <v>4.3633999994199257E-2</v>
      </c>
      <c r="K23" s="16">
        <f>+G23</f>
        <v>4.3633999994199257E-2</v>
      </c>
      <c r="O23" s="16">
        <f ca="1">+C$11+C$12*$F23</f>
        <v>1.7647438449888038E-3</v>
      </c>
      <c r="Q23" s="37">
        <f>+C23-15018.5</f>
        <v>42962.034899999999</v>
      </c>
    </row>
    <row r="24" spans="1:21" s="16" customFormat="1" ht="12.95" customHeight="1" x14ac:dyDescent="0.2">
      <c r="A24" s="41" t="s">
        <v>49</v>
      </c>
      <c r="B24" s="42" t="s">
        <v>48</v>
      </c>
      <c r="C24" s="43">
        <v>57755.322139999829</v>
      </c>
      <c r="D24" s="43">
        <v>2.0000000000000001E-4</v>
      </c>
      <c r="E24" s="16">
        <f>+(C24-C$7)/C$8</f>
        <v>25497.657139155988</v>
      </c>
      <c r="F24" s="16">
        <f>ROUND(2*E24,0)/2</f>
        <v>25497.5</v>
      </c>
      <c r="G24" s="16">
        <f>+C24-(C$7+F24*C$8)</f>
        <v>3.8824999828648288E-2</v>
      </c>
      <c r="K24" s="16">
        <f>+G24</f>
        <v>3.8824999828648288E-2</v>
      </c>
      <c r="O24" s="16">
        <f ca="1">+C$11+C$12*$F24</f>
        <v>2.4995639494120314E-3</v>
      </c>
      <c r="Q24" s="37">
        <f>+C24-15018.5</f>
        <v>42736.822139999829</v>
      </c>
    </row>
    <row r="25" spans="1:21" s="16" customFormat="1" ht="12.95" customHeight="1" x14ac:dyDescent="0.2">
      <c r="A25" s="13" t="s">
        <v>50</v>
      </c>
      <c r="B25" s="14" t="s">
        <v>48</v>
      </c>
      <c r="C25" s="45">
        <v>59461.402000000002</v>
      </c>
      <c r="D25" s="46">
        <v>1.4E-3</v>
      </c>
      <c r="E25" s="16">
        <f t="shared" ref="E25:E26" si="0">+(C25-C$7)/C$8</f>
        <v>32402.794304540337</v>
      </c>
      <c r="F25" s="16">
        <f t="shared" ref="F25:F26" si="1">ROUND(2*E25,0)/2</f>
        <v>32403</v>
      </c>
      <c r="G25" s="16">
        <f t="shared" ref="G25:G26" si="2">+C25-(C$7+F25*C$8)</f>
        <v>-5.0821999997424427E-2</v>
      </c>
      <c r="K25" s="16">
        <f t="shared" ref="K25:K26" si="3">+G25</f>
        <v>-5.0821999997424427E-2</v>
      </c>
      <c r="O25" s="16">
        <f t="shared" ref="O25:O26" ca="1" si="4">+C$11+C$12*$F25</f>
        <v>-3.0674138137197181E-3</v>
      </c>
      <c r="Q25" s="37">
        <f t="shared" ref="Q25:Q26" si="5">+C25-15018.5</f>
        <v>44442.902000000002</v>
      </c>
    </row>
    <row r="26" spans="1:21" s="16" customFormat="1" ht="12.95" customHeight="1" x14ac:dyDescent="0.2">
      <c r="A26" s="13" t="s">
        <v>50</v>
      </c>
      <c r="B26" s="14" t="s">
        <v>48</v>
      </c>
      <c r="C26" s="45">
        <v>59461.525000000001</v>
      </c>
      <c r="D26" s="46">
        <v>4.1000000000000003E-3</v>
      </c>
      <c r="E26" s="16">
        <f t="shared" si="0"/>
        <v>32403.292131102418</v>
      </c>
      <c r="F26" s="16">
        <f t="shared" si="1"/>
        <v>32403.5</v>
      </c>
      <c r="G26" s="16">
        <f t="shared" si="2"/>
        <v>-5.1358999997319188E-2</v>
      </c>
      <c r="K26" s="16">
        <f t="shared" si="3"/>
        <v>-5.1358999997319188E-2</v>
      </c>
      <c r="O26" s="16">
        <f t="shared" ca="1" si="4"/>
        <v>-3.0678168966074976E-3</v>
      </c>
      <c r="Q26" s="37">
        <f t="shared" si="5"/>
        <v>44443.025000000001</v>
      </c>
    </row>
    <row r="27" spans="1:21" s="16" customFormat="1" ht="12.95" customHeight="1" x14ac:dyDescent="0.2">
      <c r="C27" s="24"/>
      <c r="D27" s="24"/>
      <c r="Q27" s="37"/>
    </row>
    <row r="28" spans="1:21" s="16" customFormat="1" ht="12.95" customHeight="1" x14ac:dyDescent="0.2">
      <c r="C28" s="24"/>
      <c r="D28" s="24"/>
      <c r="Q28" s="37"/>
    </row>
    <row r="29" spans="1:21" s="16" customFormat="1" ht="12.95" customHeight="1" x14ac:dyDescent="0.2">
      <c r="C29" s="24"/>
      <c r="D29" s="24"/>
      <c r="Q29" s="37"/>
    </row>
    <row r="30" spans="1:21" s="16" customFormat="1" ht="12.95" customHeight="1" x14ac:dyDescent="0.2">
      <c r="C30" s="24"/>
      <c r="D30" s="24"/>
      <c r="Q30" s="37"/>
    </row>
    <row r="31" spans="1:21" s="16" customFormat="1" ht="12.95" customHeight="1" x14ac:dyDescent="0.2">
      <c r="C31" s="24"/>
      <c r="D31" s="24"/>
      <c r="Q31" s="37"/>
    </row>
    <row r="32" spans="1:21" s="16" customFormat="1" ht="12.95" customHeight="1" x14ac:dyDescent="0.2">
      <c r="C32" s="24"/>
      <c r="D32" s="24"/>
      <c r="Q32" s="37"/>
    </row>
    <row r="33" spans="3:17" s="16" customFormat="1" ht="12.95" customHeight="1" x14ac:dyDescent="0.2">
      <c r="C33" s="24"/>
      <c r="D33" s="24"/>
      <c r="Q33" s="37"/>
    </row>
    <row r="34" spans="3:17" x14ac:dyDescent="0.2">
      <c r="C34" s="12"/>
      <c r="D34" s="12"/>
      <c r="Q34" s="15"/>
    </row>
    <row r="35" spans="3:17" x14ac:dyDescent="0.2">
      <c r="C35" s="12"/>
      <c r="D35" s="12"/>
      <c r="Q35" s="15"/>
    </row>
    <row r="36" spans="3:17" x14ac:dyDescent="0.2">
      <c r="C36" s="12"/>
      <c r="D36" s="12"/>
      <c r="Q36" s="15"/>
    </row>
    <row r="37" spans="3:17" x14ac:dyDescent="0.2">
      <c r="Q37" s="15"/>
    </row>
    <row r="38" spans="3:17" x14ac:dyDescent="0.2">
      <c r="Q38" s="1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2023-01-21T05:57:38Z</dcterms:created>
  <dcterms:modified xsi:type="dcterms:W3CDTF">2024-03-02T06:30:19Z</dcterms:modified>
</cp:coreProperties>
</file>