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BB5B187-461E-48C5-B316-5216BA7AA77A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  <sheet name="Sheet1" sheetId="2" r:id="rId2"/>
  </sheets>
  <definedNames>
    <definedName name="solver_adj" localSheetId="0" hidden="1">A!$E$11:$E$13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D12" i="1" l="1"/>
  <c r="D11" i="1"/>
  <c r="W12" i="1" s="1"/>
  <c r="D13" i="1"/>
  <c r="W14" i="1"/>
  <c r="W13" i="1"/>
  <c r="W10" i="1"/>
  <c r="W8" i="1"/>
  <c r="W7" i="1"/>
  <c r="W6" i="1"/>
  <c r="W2" i="1"/>
  <c r="F40" i="1"/>
  <c r="G40" i="1"/>
  <c r="K40" i="1"/>
  <c r="E40" i="1"/>
  <c r="E41" i="1"/>
  <c r="F41" i="1"/>
  <c r="G41" i="1"/>
  <c r="K41" i="1"/>
  <c r="E42" i="1"/>
  <c r="F42" i="1"/>
  <c r="E43" i="1"/>
  <c r="F43" i="1"/>
  <c r="E44" i="1"/>
  <c r="F44" i="1"/>
  <c r="D9" i="1"/>
  <c r="C9" i="1"/>
  <c r="Q40" i="1"/>
  <c r="Q41" i="1"/>
  <c r="Q42" i="1"/>
  <c r="Q43" i="1"/>
  <c r="Q44" i="1"/>
  <c r="C21" i="1"/>
  <c r="Q21" i="1"/>
  <c r="E22" i="1"/>
  <c r="D12" i="2"/>
  <c r="E23" i="1"/>
  <c r="D13" i="2"/>
  <c r="E24" i="1"/>
  <c r="D14" i="2"/>
  <c r="E25" i="1"/>
  <c r="D15" i="2"/>
  <c r="E26" i="1"/>
  <c r="D16" i="2"/>
  <c r="E27" i="1"/>
  <c r="D17" i="2"/>
  <c r="E28" i="1"/>
  <c r="D18" i="2"/>
  <c r="E29" i="1"/>
  <c r="D19" i="2"/>
  <c r="E30" i="1"/>
  <c r="D20" i="2"/>
  <c r="E31" i="1"/>
  <c r="D21" i="2"/>
  <c r="E32" i="1"/>
  <c r="D22" i="2"/>
  <c r="E33" i="1"/>
  <c r="D23" i="2"/>
  <c r="E34" i="1"/>
  <c r="D24" i="2"/>
  <c r="E35" i="1"/>
  <c r="D25" i="2"/>
  <c r="E36" i="1"/>
  <c r="D26" i="2"/>
  <c r="E37" i="1"/>
  <c r="D27" i="2"/>
  <c r="E38" i="1"/>
  <c r="D28" i="2"/>
  <c r="E39" i="1"/>
  <c r="D29" i="2"/>
  <c r="D30" i="2"/>
  <c r="D31" i="2"/>
  <c r="D32" i="2"/>
  <c r="D33" i="2"/>
  <c r="D34" i="2"/>
  <c r="E21" i="1"/>
  <c r="D11" i="2"/>
  <c r="F39" i="1"/>
  <c r="G39" i="1"/>
  <c r="K39" i="1"/>
  <c r="F21" i="1"/>
  <c r="G21" i="1"/>
  <c r="F22" i="1"/>
  <c r="P22" i="1"/>
  <c r="R22" i="1" s="1"/>
  <c r="T22" i="1" s="1"/>
  <c r="G22" i="1"/>
  <c r="K22" i="1"/>
  <c r="F23" i="1"/>
  <c r="G23" i="1"/>
  <c r="K23" i="1"/>
  <c r="F24" i="1"/>
  <c r="P24" i="1"/>
  <c r="R24" i="1"/>
  <c r="T24" i="1" s="1"/>
  <c r="G24" i="1"/>
  <c r="F25" i="1"/>
  <c r="G25" i="1"/>
  <c r="K25" i="1"/>
  <c r="F26" i="1"/>
  <c r="P26" i="1"/>
  <c r="R26" i="1"/>
  <c r="T26" i="1" s="1"/>
  <c r="G26" i="1"/>
  <c r="K26" i="1"/>
  <c r="F27" i="1"/>
  <c r="G27" i="1"/>
  <c r="K27" i="1"/>
  <c r="F28" i="1"/>
  <c r="P28" i="1"/>
  <c r="R28" i="1" s="1"/>
  <c r="T28" i="1" s="1"/>
  <c r="G28" i="1"/>
  <c r="K28" i="1"/>
  <c r="F29" i="1"/>
  <c r="P29" i="1"/>
  <c r="R29" i="1" s="1"/>
  <c r="T29" i="1" s="1"/>
  <c r="G29" i="1"/>
  <c r="K29" i="1"/>
  <c r="F30" i="1"/>
  <c r="G30" i="1"/>
  <c r="K30" i="1"/>
  <c r="F31" i="1"/>
  <c r="G31" i="1"/>
  <c r="K31" i="1"/>
  <c r="F32" i="1"/>
  <c r="P32" i="1"/>
  <c r="R32" i="1" s="1"/>
  <c r="T32" i="1" s="1"/>
  <c r="G32" i="1"/>
  <c r="K32" i="1"/>
  <c r="F33" i="1"/>
  <c r="G33" i="1"/>
  <c r="K33" i="1"/>
  <c r="F34" i="1"/>
  <c r="P34" i="1"/>
  <c r="R34" i="1" s="1"/>
  <c r="T34" i="1" s="1"/>
  <c r="G34" i="1"/>
  <c r="K34" i="1"/>
  <c r="F35" i="1"/>
  <c r="G35" i="1"/>
  <c r="K35" i="1"/>
  <c r="F36" i="1"/>
  <c r="P36" i="1"/>
  <c r="R36" i="1" s="1"/>
  <c r="T36" i="1" s="1"/>
  <c r="G36" i="1"/>
  <c r="K36" i="1"/>
  <c r="F37" i="1"/>
  <c r="P37" i="1"/>
  <c r="R37" i="1" s="1"/>
  <c r="T37" i="1" s="1"/>
  <c r="G37" i="1"/>
  <c r="K37" i="1"/>
  <c r="F38" i="1"/>
  <c r="G38" i="1"/>
  <c r="K38" i="1"/>
  <c r="Q39" i="1"/>
  <c r="Q22" i="1"/>
  <c r="Q23" i="1"/>
  <c r="K24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F16" i="1"/>
  <c r="F17" i="1" s="1"/>
  <c r="C17" i="1"/>
  <c r="K21" i="1"/>
  <c r="P42" i="1"/>
  <c r="R42" i="1" s="1"/>
  <c r="T42" i="1" s="1"/>
  <c r="G42" i="1"/>
  <c r="D16" i="1"/>
  <c r="D19" i="1" s="1"/>
  <c r="G44" i="1"/>
  <c r="K44" i="1"/>
  <c r="P44" i="1"/>
  <c r="R44" i="1" s="1"/>
  <c r="T44" i="1" s="1"/>
  <c r="G43" i="1"/>
  <c r="K43" i="1"/>
  <c r="P43" i="1"/>
  <c r="R43" i="1"/>
  <c r="T43" i="1" s="1"/>
  <c r="P35" i="1"/>
  <c r="R35" i="1" s="1"/>
  <c r="T35" i="1" s="1"/>
  <c r="P27" i="1"/>
  <c r="R27" i="1"/>
  <c r="T27" i="1"/>
  <c r="P40" i="1"/>
  <c r="R40" i="1"/>
  <c r="T40" i="1" s="1"/>
  <c r="P39" i="1"/>
  <c r="R39" i="1" s="1"/>
  <c r="T39" i="1" s="1"/>
  <c r="P31" i="1"/>
  <c r="R31" i="1"/>
  <c r="T31" i="1" s="1"/>
  <c r="P23" i="1"/>
  <c r="R23" i="1" s="1"/>
  <c r="T23" i="1" s="1"/>
  <c r="W9" i="1"/>
  <c r="D15" i="1"/>
  <c r="C19" i="1" s="1"/>
  <c r="P41" i="1"/>
  <c r="R41" i="1" s="1"/>
  <c r="T41" i="1" s="1"/>
  <c r="P33" i="1"/>
  <c r="R33" i="1" s="1"/>
  <c r="T33" i="1" s="1"/>
  <c r="P25" i="1"/>
  <c r="R25" i="1"/>
  <c r="T25" i="1"/>
  <c r="W3" i="1"/>
  <c r="W11" i="1"/>
  <c r="P21" i="1"/>
  <c r="R21" i="1" s="1"/>
  <c r="T21" i="1" s="1"/>
  <c r="P38" i="1"/>
  <c r="R38" i="1"/>
  <c r="T38" i="1" s="1"/>
  <c r="P30" i="1"/>
  <c r="R30" i="1" s="1"/>
  <c r="T30" i="1" s="1"/>
  <c r="W4" i="1"/>
  <c r="K42" i="1"/>
  <c r="C12" i="1"/>
  <c r="C11" i="1"/>
  <c r="O44" i="1" l="1"/>
  <c r="O23" i="1"/>
  <c r="O37" i="1"/>
  <c r="O39" i="1"/>
  <c r="O25" i="1"/>
  <c r="C15" i="1"/>
  <c r="O34" i="1"/>
  <c r="O21" i="1"/>
  <c r="O41" i="1"/>
  <c r="O24" i="1"/>
  <c r="O26" i="1"/>
  <c r="O42" i="1"/>
  <c r="O28" i="1"/>
  <c r="O30" i="1"/>
  <c r="O43" i="1"/>
  <c r="O31" i="1"/>
  <c r="O29" i="1"/>
  <c r="O32" i="1"/>
  <c r="O40" i="1"/>
  <c r="O33" i="1"/>
  <c r="O22" i="1"/>
  <c r="O38" i="1"/>
  <c r="O35" i="1"/>
  <c r="O36" i="1"/>
  <c r="O27" i="1"/>
  <c r="C16" i="1"/>
  <c r="D18" i="1" s="1"/>
  <c r="E14" i="1"/>
  <c r="W15" i="1"/>
  <c r="W5" i="1"/>
  <c r="C18" i="1" l="1"/>
  <c r="F18" i="1"/>
  <c r="F19" i="1" s="1"/>
</calcChain>
</file>

<file path=xl/sharedStrings.xml><?xml version="1.0" encoding="utf-8"?>
<sst xmlns="http://schemas.openxmlformats.org/spreadsheetml/2006/main" count="170" uniqueCount="84">
  <si>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</si>
  <si>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</si>
  <si>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</si>
  <si>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</si>
  <si>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</si>
  <si>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</si>
  <si>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</si>
  <si>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</si>
  <si>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</si>
  <si>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</si>
  <si>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</si>
  <si>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</si>
  <si>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</si>
  <si>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</si>
  <si>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</si>
  <si>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</si>
  <si>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</si>
  <si>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</si>
  <si>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</si>
  <si>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</si>
  <si>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</si>
  <si>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</si>
  <si>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</si>
  <si>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</si>
  <si>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</si>
  <si>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</si>
  <si>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</si>
  <si>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</si>
  <si>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</si>
  <si>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</si>
  <si>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</si>
  <si>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</si>
  <si>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</si>
  <si>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</si>
  <si>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</si>
  <si>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V0573 Peg / GSC 2751-1007</t>
  </si>
  <si>
    <t>EW</t>
  </si>
  <si>
    <t>IBVS 6118</t>
  </si>
  <si>
    <t>I</t>
  </si>
  <si>
    <t>IBVS 5791</t>
  </si>
  <si>
    <t>II</t>
  </si>
  <si>
    <t>OEJV 116</t>
  </si>
  <si>
    <t>IBVS 5875</t>
  </si>
  <si>
    <t>IBVS 6039</t>
  </si>
  <si>
    <t>IBVS 6041</t>
  </si>
  <si>
    <t>IBVS 6149</t>
  </si>
  <si>
    <t>–0.0060</t>
  </si>
  <si>
    <t>–0.0057</t>
  </si>
  <si>
    <t>–0.0008</t>
  </si>
  <si>
    <t>–0.0055</t>
  </si>
  <si>
    <t>–0.0007</t>
  </si>
  <si>
    <t>–0.0064</t>
  </si>
  <si>
    <t>–0.0016</t>
  </si>
  <si>
    <t>–0.0011</t>
  </si>
  <si>
    <t>–0.0010</t>
  </si>
  <si>
    <t>–0.0002</t>
  </si>
  <si>
    <t>–0.0019</t>
  </si>
  <si>
    <t>–0.0006</t>
  </si>
  <si>
    <t>–0.0020</t>
  </si>
  <si>
    <t>–0.0048</t>
  </si>
  <si>
    <t>–0.0056</t>
  </si>
  <si>
    <t>–0.0005</t>
  </si>
  <si>
    <t>–0.0053</t>
  </si>
  <si>
    <t>–0.0047</t>
  </si>
  <si>
    <t>–0.0049</t>
  </si>
  <si>
    <t>Gürol et al. 2007</t>
  </si>
  <si>
    <t>Gökay et al. 2012</t>
  </si>
  <si>
    <t>Demircan et al. 2012</t>
  </si>
  <si>
    <t>Paschke 2009</t>
  </si>
  <si>
    <t>Nelson 2008</t>
  </si>
  <si>
    <t>Hübscher 2014</t>
  </si>
  <si>
    <t>Samec et al. 2018JAVSO..46…57</t>
  </si>
  <si>
    <t>pg</t>
  </si>
  <si>
    <t>vis</t>
  </si>
  <si>
    <t>PE</t>
  </si>
  <si>
    <t>CCD</t>
  </si>
  <si>
    <t>s5</t>
  </si>
  <si>
    <t>s6</t>
  </si>
  <si>
    <t>s7</t>
  </si>
  <si>
    <t>Linear Ephemeris =</t>
  </si>
  <si>
    <t>Quad. Ephemeris =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</si>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</sst>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6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11" fillId="2" borderId="0" xfId="0" applyFont="1" applyFill="1" applyAlignment="1"/>
    <xf numFmtId="0" fontId="14" fillId="0" borderId="0" xfId="0" applyFont="1" applyAlignment="1"/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11" fontId="0" fillId="0" borderId="0" xfId="0" applyNumberFormat="1" applyAlignment="1">
      <alignment vertical="center"/>
    </xf>
    <xf numFmtId="0" fontId="16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19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72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V0573 Peg - O-C Diagr.</a:t>
            </a:r>
          </a:p>
        </c:rich>
      </c:tx>
      <c:layout>
        <c:manualLayout>
          <c:xMode val="edge"/>
          <c:yMode val="edge"/>
          <c:x val="0.33783783783783783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0926640926641"/>
          <c:y val="0.15141955835962145"/>
          <c:w val="0.77606177606177607"/>
          <c:h val="0.57413249211356465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8.9999999999999998E-4</c:v>
                  </c:pt>
                  <c:pt idx="13">
                    <c:v>5.9999999999999995E-4</c:v>
                  </c:pt>
                  <c:pt idx="14">
                    <c:v>4.0000000000000002E-4</c:v>
                  </c:pt>
                  <c:pt idx="15">
                    <c:v>6.9999999999999999E-4</c:v>
                  </c:pt>
                  <c:pt idx="16">
                    <c:v>4.7000000000000002E-3</c:v>
                  </c:pt>
                  <c:pt idx="17">
                    <c:v>2.9999999999999997E-4</c:v>
                  </c:pt>
                  <c:pt idx="18">
                    <c:v>1.1000000000000001E-3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8.9999999999999998E-4</c:v>
                  </c:pt>
                  <c:pt idx="13">
                    <c:v>5.9999999999999995E-4</c:v>
                  </c:pt>
                  <c:pt idx="14">
                    <c:v>4.0000000000000002E-4</c:v>
                  </c:pt>
                  <c:pt idx="15">
                    <c:v>6.9999999999999999E-4</c:v>
                  </c:pt>
                  <c:pt idx="16">
                    <c:v>4.7000000000000002E-3</c:v>
                  </c:pt>
                  <c:pt idx="17">
                    <c:v>2.9999999999999997E-4</c:v>
                  </c:pt>
                  <c:pt idx="18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994.5</c:v>
                </c:pt>
                <c:pt idx="2">
                  <c:v>996.5</c:v>
                </c:pt>
                <c:pt idx="3">
                  <c:v>997</c:v>
                </c:pt>
                <c:pt idx="4">
                  <c:v>3754</c:v>
                </c:pt>
                <c:pt idx="5">
                  <c:v>4404</c:v>
                </c:pt>
                <c:pt idx="6">
                  <c:v>6133</c:v>
                </c:pt>
                <c:pt idx="7">
                  <c:v>6140</c:v>
                </c:pt>
                <c:pt idx="8">
                  <c:v>6142.5</c:v>
                </c:pt>
                <c:pt idx="9">
                  <c:v>6897</c:v>
                </c:pt>
                <c:pt idx="10">
                  <c:v>6930.5</c:v>
                </c:pt>
                <c:pt idx="11">
                  <c:v>6938</c:v>
                </c:pt>
                <c:pt idx="12">
                  <c:v>6942.5</c:v>
                </c:pt>
                <c:pt idx="13">
                  <c:v>6959.5</c:v>
                </c:pt>
                <c:pt idx="14">
                  <c:v>6980.5</c:v>
                </c:pt>
                <c:pt idx="15">
                  <c:v>6981</c:v>
                </c:pt>
                <c:pt idx="16">
                  <c:v>8753.5</c:v>
                </c:pt>
                <c:pt idx="17">
                  <c:v>8754</c:v>
                </c:pt>
                <c:pt idx="18">
                  <c:v>9561</c:v>
                </c:pt>
                <c:pt idx="19">
                  <c:v>12306.5</c:v>
                </c:pt>
                <c:pt idx="20">
                  <c:v>12309</c:v>
                </c:pt>
                <c:pt idx="21">
                  <c:v>12309.5</c:v>
                </c:pt>
                <c:pt idx="22">
                  <c:v>12321</c:v>
                </c:pt>
                <c:pt idx="23">
                  <c:v>12321.5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D7-47C1-9C2B-88020F640614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8.9999999999999998E-4</c:v>
                  </c:pt>
                  <c:pt idx="13">
                    <c:v>5.9999999999999995E-4</c:v>
                  </c:pt>
                  <c:pt idx="14">
                    <c:v>4.0000000000000002E-4</c:v>
                  </c:pt>
                  <c:pt idx="15">
                    <c:v>6.9999999999999999E-4</c:v>
                  </c:pt>
                  <c:pt idx="16">
                    <c:v>4.7000000000000002E-3</c:v>
                  </c:pt>
                  <c:pt idx="17">
                    <c:v>2.9999999999999997E-4</c:v>
                  </c:pt>
                  <c:pt idx="18">
                    <c:v>1.1000000000000001E-3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8.9999999999999998E-4</c:v>
                  </c:pt>
                  <c:pt idx="13">
                    <c:v>5.9999999999999995E-4</c:v>
                  </c:pt>
                  <c:pt idx="14">
                    <c:v>4.0000000000000002E-4</c:v>
                  </c:pt>
                  <c:pt idx="15">
                    <c:v>6.9999999999999999E-4</c:v>
                  </c:pt>
                  <c:pt idx="16">
                    <c:v>4.7000000000000002E-3</c:v>
                  </c:pt>
                  <c:pt idx="17">
                    <c:v>2.9999999999999997E-4</c:v>
                  </c:pt>
                  <c:pt idx="18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994.5</c:v>
                </c:pt>
                <c:pt idx="2">
                  <c:v>996.5</c:v>
                </c:pt>
                <c:pt idx="3">
                  <c:v>997</c:v>
                </c:pt>
                <c:pt idx="4">
                  <c:v>3754</c:v>
                </c:pt>
                <c:pt idx="5">
                  <c:v>4404</c:v>
                </c:pt>
                <c:pt idx="6">
                  <c:v>6133</c:v>
                </c:pt>
                <c:pt idx="7">
                  <c:v>6140</c:v>
                </c:pt>
                <c:pt idx="8">
                  <c:v>6142.5</c:v>
                </c:pt>
                <c:pt idx="9">
                  <c:v>6897</c:v>
                </c:pt>
                <c:pt idx="10">
                  <c:v>6930.5</c:v>
                </c:pt>
                <c:pt idx="11">
                  <c:v>6938</c:v>
                </c:pt>
                <c:pt idx="12">
                  <c:v>6942.5</c:v>
                </c:pt>
                <c:pt idx="13">
                  <c:v>6959.5</c:v>
                </c:pt>
                <c:pt idx="14">
                  <c:v>6980.5</c:v>
                </c:pt>
                <c:pt idx="15">
                  <c:v>6981</c:v>
                </c:pt>
                <c:pt idx="16">
                  <c:v>8753.5</c:v>
                </c:pt>
                <c:pt idx="17">
                  <c:v>8754</c:v>
                </c:pt>
                <c:pt idx="18">
                  <c:v>9561</c:v>
                </c:pt>
                <c:pt idx="19">
                  <c:v>12306.5</c:v>
                </c:pt>
                <c:pt idx="20">
                  <c:v>12309</c:v>
                </c:pt>
                <c:pt idx="21">
                  <c:v>12309.5</c:v>
                </c:pt>
                <c:pt idx="22">
                  <c:v>12321</c:v>
                </c:pt>
                <c:pt idx="23">
                  <c:v>12321.5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D7-47C1-9C2B-88020F640614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8.9999999999999998E-4</c:v>
                  </c:pt>
                  <c:pt idx="13">
                    <c:v>5.9999999999999995E-4</c:v>
                  </c:pt>
                  <c:pt idx="14">
                    <c:v>4.0000000000000002E-4</c:v>
                  </c:pt>
                  <c:pt idx="15">
                    <c:v>6.9999999999999999E-4</c:v>
                  </c:pt>
                  <c:pt idx="16">
                    <c:v>4.7000000000000002E-3</c:v>
                  </c:pt>
                  <c:pt idx="17">
                    <c:v>2.9999999999999997E-4</c:v>
                  </c:pt>
                  <c:pt idx="18">
                    <c:v>1.1000000000000001E-3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8.9999999999999998E-4</c:v>
                  </c:pt>
                  <c:pt idx="13">
                    <c:v>5.9999999999999995E-4</c:v>
                  </c:pt>
                  <c:pt idx="14">
                    <c:v>4.0000000000000002E-4</c:v>
                  </c:pt>
                  <c:pt idx="15">
                    <c:v>6.9999999999999999E-4</c:v>
                  </c:pt>
                  <c:pt idx="16">
                    <c:v>4.7000000000000002E-3</c:v>
                  </c:pt>
                  <c:pt idx="17">
                    <c:v>2.9999999999999997E-4</c:v>
                  </c:pt>
                  <c:pt idx="18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994.5</c:v>
                </c:pt>
                <c:pt idx="2">
                  <c:v>996.5</c:v>
                </c:pt>
                <c:pt idx="3">
                  <c:v>997</c:v>
                </c:pt>
                <c:pt idx="4">
                  <c:v>3754</c:v>
                </c:pt>
                <c:pt idx="5">
                  <c:v>4404</c:v>
                </c:pt>
                <c:pt idx="6">
                  <c:v>6133</c:v>
                </c:pt>
                <c:pt idx="7">
                  <c:v>6140</c:v>
                </c:pt>
                <c:pt idx="8">
                  <c:v>6142.5</c:v>
                </c:pt>
                <c:pt idx="9">
                  <c:v>6897</c:v>
                </c:pt>
                <c:pt idx="10">
                  <c:v>6930.5</c:v>
                </c:pt>
                <c:pt idx="11">
                  <c:v>6938</c:v>
                </c:pt>
                <c:pt idx="12">
                  <c:v>6942.5</c:v>
                </c:pt>
                <c:pt idx="13">
                  <c:v>6959.5</c:v>
                </c:pt>
                <c:pt idx="14">
                  <c:v>6980.5</c:v>
                </c:pt>
                <c:pt idx="15">
                  <c:v>6981</c:v>
                </c:pt>
                <c:pt idx="16">
                  <c:v>8753.5</c:v>
                </c:pt>
                <c:pt idx="17">
                  <c:v>8754</c:v>
                </c:pt>
                <c:pt idx="18">
                  <c:v>9561</c:v>
                </c:pt>
                <c:pt idx="19">
                  <c:v>12306.5</c:v>
                </c:pt>
                <c:pt idx="20">
                  <c:v>12309</c:v>
                </c:pt>
                <c:pt idx="21">
                  <c:v>12309.5</c:v>
                </c:pt>
                <c:pt idx="22">
                  <c:v>12321</c:v>
                </c:pt>
                <c:pt idx="23">
                  <c:v>12321.5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D7-47C1-9C2B-88020F640614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8.9999999999999998E-4</c:v>
                  </c:pt>
                  <c:pt idx="13">
                    <c:v>5.9999999999999995E-4</c:v>
                  </c:pt>
                  <c:pt idx="14">
                    <c:v>4.0000000000000002E-4</c:v>
                  </c:pt>
                  <c:pt idx="15">
                    <c:v>6.9999999999999999E-4</c:v>
                  </c:pt>
                  <c:pt idx="16">
                    <c:v>4.7000000000000002E-3</c:v>
                  </c:pt>
                  <c:pt idx="17">
                    <c:v>2.9999999999999997E-4</c:v>
                  </c:pt>
                  <c:pt idx="18">
                    <c:v>1.1000000000000001E-3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8.9999999999999998E-4</c:v>
                  </c:pt>
                  <c:pt idx="13">
                    <c:v>5.9999999999999995E-4</c:v>
                  </c:pt>
                  <c:pt idx="14">
                    <c:v>4.0000000000000002E-4</c:v>
                  </c:pt>
                  <c:pt idx="15">
                    <c:v>6.9999999999999999E-4</c:v>
                  </c:pt>
                  <c:pt idx="16">
                    <c:v>4.7000000000000002E-3</c:v>
                  </c:pt>
                  <c:pt idx="17">
                    <c:v>2.9999999999999997E-4</c:v>
                  </c:pt>
                  <c:pt idx="18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994.5</c:v>
                </c:pt>
                <c:pt idx="2">
                  <c:v>996.5</c:v>
                </c:pt>
                <c:pt idx="3">
                  <c:v>997</c:v>
                </c:pt>
                <c:pt idx="4">
                  <c:v>3754</c:v>
                </c:pt>
                <c:pt idx="5">
                  <c:v>4404</c:v>
                </c:pt>
                <c:pt idx="6">
                  <c:v>6133</c:v>
                </c:pt>
                <c:pt idx="7">
                  <c:v>6140</c:v>
                </c:pt>
                <c:pt idx="8">
                  <c:v>6142.5</c:v>
                </c:pt>
                <c:pt idx="9">
                  <c:v>6897</c:v>
                </c:pt>
                <c:pt idx="10">
                  <c:v>6930.5</c:v>
                </c:pt>
                <c:pt idx="11">
                  <c:v>6938</c:v>
                </c:pt>
                <c:pt idx="12">
                  <c:v>6942.5</c:v>
                </c:pt>
                <c:pt idx="13">
                  <c:v>6959.5</c:v>
                </c:pt>
                <c:pt idx="14">
                  <c:v>6980.5</c:v>
                </c:pt>
                <c:pt idx="15">
                  <c:v>6981</c:v>
                </c:pt>
                <c:pt idx="16">
                  <c:v>8753.5</c:v>
                </c:pt>
                <c:pt idx="17">
                  <c:v>8754</c:v>
                </c:pt>
                <c:pt idx="18">
                  <c:v>9561</c:v>
                </c:pt>
                <c:pt idx="19">
                  <c:v>12306.5</c:v>
                </c:pt>
                <c:pt idx="20">
                  <c:v>12309</c:v>
                </c:pt>
                <c:pt idx="21">
                  <c:v>12309.5</c:v>
                </c:pt>
                <c:pt idx="22">
                  <c:v>12321</c:v>
                </c:pt>
                <c:pt idx="23">
                  <c:v>12321.5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-1.046449999557808E-2</c:v>
                </c:pt>
                <c:pt idx="2">
                  <c:v>-1.0286500000802334E-2</c:v>
                </c:pt>
                <c:pt idx="3">
                  <c:v>-1.1216999992029741E-2</c:v>
                </c:pt>
                <c:pt idx="4">
                  <c:v>-3.1493999995291233E-2</c:v>
                </c:pt>
                <c:pt idx="5">
                  <c:v>-4.014399999869056E-2</c:v>
                </c:pt>
                <c:pt idx="6">
                  <c:v>-5.7412999994994607E-2</c:v>
                </c:pt>
                <c:pt idx="7">
                  <c:v>-5.7339999999385327E-2</c:v>
                </c:pt>
                <c:pt idx="8">
                  <c:v>-5.6392499995126855E-2</c:v>
                </c:pt>
                <c:pt idx="9">
                  <c:v>-6.4816999998583924E-2</c:v>
                </c:pt>
                <c:pt idx="10">
                  <c:v>-6.406050000077812E-2</c:v>
                </c:pt>
                <c:pt idx="11">
                  <c:v>-6.5817999995488208E-2</c:v>
                </c:pt>
                <c:pt idx="12">
                  <c:v>-6.3992499999585561E-2</c:v>
                </c:pt>
                <c:pt idx="13">
                  <c:v>-6.4329500004532747E-2</c:v>
                </c:pt>
                <c:pt idx="14">
                  <c:v>-6.5310499994666316E-2</c:v>
                </c:pt>
                <c:pt idx="15">
                  <c:v>-6.5240999996603932E-2</c:v>
                </c:pt>
                <c:pt idx="16">
                  <c:v>-8.2763500002329238E-2</c:v>
                </c:pt>
                <c:pt idx="17">
                  <c:v>-8.7793999999121297E-2</c:v>
                </c:pt>
                <c:pt idx="18">
                  <c:v>-9.7720999998273328E-2</c:v>
                </c:pt>
                <c:pt idx="19">
                  <c:v>-0.1315965000030701</c:v>
                </c:pt>
                <c:pt idx="20">
                  <c:v>-0.13234899999952177</c:v>
                </c:pt>
                <c:pt idx="21">
                  <c:v>-0.13207949999923585</c:v>
                </c:pt>
                <c:pt idx="22">
                  <c:v>-0.13168099999893457</c:v>
                </c:pt>
                <c:pt idx="23">
                  <c:v>-0.13181149999581976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D7-47C1-9C2B-88020F640614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8.9999999999999998E-4</c:v>
                  </c:pt>
                  <c:pt idx="13">
                    <c:v>5.9999999999999995E-4</c:v>
                  </c:pt>
                  <c:pt idx="14">
                    <c:v>4.0000000000000002E-4</c:v>
                  </c:pt>
                  <c:pt idx="15">
                    <c:v>6.9999999999999999E-4</c:v>
                  </c:pt>
                  <c:pt idx="16">
                    <c:v>4.7000000000000002E-3</c:v>
                  </c:pt>
                  <c:pt idx="17">
                    <c:v>2.9999999999999997E-4</c:v>
                  </c:pt>
                  <c:pt idx="18">
                    <c:v>1.1000000000000001E-3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8.9999999999999998E-4</c:v>
                  </c:pt>
                  <c:pt idx="13">
                    <c:v>5.9999999999999995E-4</c:v>
                  </c:pt>
                  <c:pt idx="14">
                    <c:v>4.0000000000000002E-4</c:v>
                  </c:pt>
                  <c:pt idx="15">
                    <c:v>6.9999999999999999E-4</c:v>
                  </c:pt>
                  <c:pt idx="16">
                    <c:v>4.7000000000000002E-3</c:v>
                  </c:pt>
                  <c:pt idx="17">
                    <c:v>2.9999999999999997E-4</c:v>
                  </c:pt>
                  <c:pt idx="18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994.5</c:v>
                </c:pt>
                <c:pt idx="2">
                  <c:v>996.5</c:v>
                </c:pt>
                <c:pt idx="3">
                  <c:v>997</c:v>
                </c:pt>
                <c:pt idx="4">
                  <c:v>3754</c:v>
                </c:pt>
                <c:pt idx="5">
                  <c:v>4404</c:v>
                </c:pt>
                <c:pt idx="6">
                  <c:v>6133</c:v>
                </c:pt>
                <c:pt idx="7">
                  <c:v>6140</c:v>
                </c:pt>
                <c:pt idx="8">
                  <c:v>6142.5</c:v>
                </c:pt>
                <c:pt idx="9">
                  <c:v>6897</c:v>
                </c:pt>
                <c:pt idx="10">
                  <c:v>6930.5</c:v>
                </c:pt>
                <c:pt idx="11">
                  <c:v>6938</c:v>
                </c:pt>
                <c:pt idx="12">
                  <c:v>6942.5</c:v>
                </c:pt>
                <c:pt idx="13">
                  <c:v>6959.5</c:v>
                </c:pt>
                <c:pt idx="14">
                  <c:v>6980.5</c:v>
                </c:pt>
                <c:pt idx="15">
                  <c:v>6981</c:v>
                </c:pt>
                <c:pt idx="16">
                  <c:v>8753.5</c:v>
                </c:pt>
                <c:pt idx="17">
                  <c:v>8754</c:v>
                </c:pt>
                <c:pt idx="18">
                  <c:v>9561</c:v>
                </c:pt>
                <c:pt idx="19">
                  <c:v>12306.5</c:v>
                </c:pt>
                <c:pt idx="20">
                  <c:v>12309</c:v>
                </c:pt>
                <c:pt idx="21">
                  <c:v>12309.5</c:v>
                </c:pt>
                <c:pt idx="22">
                  <c:v>12321</c:v>
                </c:pt>
                <c:pt idx="23">
                  <c:v>12321.5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D7-47C1-9C2B-88020F640614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8.9999999999999998E-4</c:v>
                  </c:pt>
                  <c:pt idx="13">
                    <c:v>5.9999999999999995E-4</c:v>
                  </c:pt>
                  <c:pt idx="14">
                    <c:v>4.0000000000000002E-4</c:v>
                  </c:pt>
                  <c:pt idx="15">
                    <c:v>6.9999999999999999E-4</c:v>
                  </c:pt>
                  <c:pt idx="16">
                    <c:v>4.7000000000000002E-3</c:v>
                  </c:pt>
                  <c:pt idx="17">
                    <c:v>2.9999999999999997E-4</c:v>
                  </c:pt>
                  <c:pt idx="18">
                    <c:v>1.1000000000000001E-3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8.9999999999999998E-4</c:v>
                  </c:pt>
                  <c:pt idx="13">
                    <c:v>5.9999999999999995E-4</c:v>
                  </c:pt>
                  <c:pt idx="14">
                    <c:v>4.0000000000000002E-4</c:v>
                  </c:pt>
                  <c:pt idx="15">
                    <c:v>6.9999999999999999E-4</c:v>
                  </c:pt>
                  <c:pt idx="16">
                    <c:v>4.7000000000000002E-3</c:v>
                  </c:pt>
                  <c:pt idx="17">
                    <c:v>2.9999999999999997E-4</c:v>
                  </c:pt>
                  <c:pt idx="18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994.5</c:v>
                </c:pt>
                <c:pt idx="2">
                  <c:v>996.5</c:v>
                </c:pt>
                <c:pt idx="3">
                  <c:v>997</c:v>
                </c:pt>
                <c:pt idx="4">
                  <c:v>3754</c:v>
                </c:pt>
                <c:pt idx="5">
                  <c:v>4404</c:v>
                </c:pt>
                <c:pt idx="6">
                  <c:v>6133</c:v>
                </c:pt>
                <c:pt idx="7">
                  <c:v>6140</c:v>
                </c:pt>
                <c:pt idx="8">
                  <c:v>6142.5</c:v>
                </c:pt>
                <c:pt idx="9">
                  <c:v>6897</c:v>
                </c:pt>
                <c:pt idx="10">
                  <c:v>6930.5</c:v>
                </c:pt>
                <c:pt idx="11">
                  <c:v>6938</c:v>
                </c:pt>
                <c:pt idx="12">
                  <c:v>6942.5</c:v>
                </c:pt>
                <c:pt idx="13">
                  <c:v>6959.5</c:v>
                </c:pt>
                <c:pt idx="14">
                  <c:v>6980.5</c:v>
                </c:pt>
                <c:pt idx="15">
                  <c:v>6981</c:v>
                </c:pt>
                <c:pt idx="16">
                  <c:v>8753.5</c:v>
                </c:pt>
                <c:pt idx="17">
                  <c:v>8754</c:v>
                </c:pt>
                <c:pt idx="18">
                  <c:v>9561</c:v>
                </c:pt>
                <c:pt idx="19">
                  <c:v>12306.5</c:v>
                </c:pt>
                <c:pt idx="20">
                  <c:v>12309</c:v>
                </c:pt>
                <c:pt idx="21">
                  <c:v>12309.5</c:v>
                </c:pt>
                <c:pt idx="22">
                  <c:v>12321</c:v>
                </c:pt>
                <c:pt idx="23">
                  <c:v>12321.5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CD7-47C1-9C2B-88020F640614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8.9999999999999998E-4</c:v>
                  </c:pt>
                  <c:pt idx="13">
                    <c:v>5.9999999999999995E-4</c:v>
                  </c:pt>
                  <c:pt idx="14">
                    <c:v>4.0000000000000002E-4</c:v>
                  </c:pt>
                  <c:pt idx="15">
                    <c:v>6.9999999999999999E-4</c:v>
                  </c:pt>
                  <c:pt idx="16">
                    <c:v>4.7000000000000002E-3</c:v>
                  </c:pt>
                  <c:pt idx="17">
                    <c:v>2.9999999999999997E-4</c:v>
                  </c:pt>
                  <c:pt idx="18">
                    <c:v>1.1000000000000001E-3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4.0000000000000002E-4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8.9999999999999998E-4</c:v>
                  </c:pt>
                  <c:pt idx="13">
                    <c:v>5.9999999999999995E-4</c:v>
                  </c:pt>
                  <c:pt idx="14">
                    <c:v>4.0000000000000002E-4</c:v>
                  </c:pt>
                  <c:pt idx="15">
                    <c:v>6.9999999999999999E-4</c:v>
                  </c:pt>
                  <c:pt idx="16">
                    <c:v>4.7000000000000002E-3</c:v>
                  </c:pt>
                  <c:pt idx="17">
                    <c:v>2.9999999999999997E-4</c:v>
                  </c:pt>
                  <c:pt idx="18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994.5</c:v>
                </c:pt>
                <c:pt idx="2">
                  <c:v>996.5</c:v>
                </c:pt>
                <c:pt idx="3">
                  <c:v>997</c:v>
                </c:pt>
                <c:pt idx="4">
                  <c:v>3754</c:v>
                </c:pt>
                <c:pt idx="5">
                  <c:v>4404</c:v>
                </c:pt>
                <c:pt idx="6">
                  <c:v>6133</c:v>
                </c:pt>
                <c:pt idx="7">
                  <c:v>6140</c:v>
                </c:pt>
                <c:pt idx="8">
                  <c:v>6142.5</c:v>
                </c:pt>
                <c:pt idx="9">
                  <c:v>6897</c:v>
                </c:pt>
                <c:pt idx="10">
                  <c:v>6930.5</c:v>
                </c:pt>
                <c:pt idx="11">
                  <c:v>6938</c:v>
                </c:pt>
                <c:pt idx="12">
                  <c:v>6942.5</c:v>
                </c:pt>
                <c:pt idx="13">
                  <c:v>6959.5</c:v>
                </c:pt>
                <c:pt idx="14">
                  <c:v>6980.5</c:v>
                </c:pt>
                <c:pt idx="15">
                  <c:v>6981</c:v>
                </c:pt>
                <c:pt idx="16">
                  <c:v>8753.5</c:v>
                </c:pt>
                <c:pt idx="17">
                  <c:v>8754</c:v>
                </c:pt>
                <c:pt idx="18">
                  <c:v>9561</c:v>
                </c:pt>
                <c:pt idx="19">
                  <c:v>12306.5</c:v>
                </c:pt>
                <c:pt idx="20">
                  <c:v>12309</c:v>
                </c:pt>
                <c:pt idx="21">
                  <c:v>12309.5</c:v>
                </c:pt>
                <c:pt idx="22">
                  <c:v>12321</c:v>
                </c:pt>
                <c:pt idx="23">
                  <c:v>12321.5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CD7-47C1-9C2B-88020F640614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994.5</c:v>
                </c:pt>
                <c:pt idx="2">
                  <c:v>996.5</c:v>
                </c:pt>
                <c:pt idx="3">
                  <c:v>997</c:v>
                </c:pt>
                <c:pt idx="4">
                  <c:v>3754</c:v>
                </c:pt>
                <c:pt idx="5">
                  <c:v>4404</c:v>
                </c:pt>
                <c:pt idx="6">
                  <c:v>6133</c:v>
                </c:pt>
                <c:pt idx="7">
                  <c:v>6140</c:v>
                </c:pt>
                <c:pt idx="8">
                  <c:v>6142.5</c:v>
                </c:pt>
                <c:pt idx="9">
                  <c:v>6897</c:v>
                </c:pt>
                <c:pt idx="10">
                  <c:v>6930.5</c:v>
                </c:pt>
                <c:pt idx="11">
                  <c:v>6938</c:v>
                </c:pt>
                <c:pt idx="12">
                  <c:v>6942.5</c:v>
                </c:pt>
                <c:pt idx="13">
                  <c:v>6959.5</c:v>
                </c:pt>
                <c:pt idx="14">
                  <c:v>6980.5</c:v>
                </c:pt>
                <c:pt idx="15">
                  <c:v>6981</c:v>
                </c:pt>
                <c:pt idx="16">
                  <c:v>8753.5</c:v>
                </c:pt>
                <c:pt idx="17">
                  <c:v>8754</c:v>
                </c:pt>
                <c:pt idx="18">
                  <c:v>9561</c:v>
                </c:pt>
                <c:pt idx="19">
                  <c:v>12306.5</c:v>
                </c:pt>
                <c:pt idx="20">
                  <c:v>12309</c:v>
                </c:pt>
                <c:pt idx="21">
                  <c:v>12309.5</c:v>
                </c:pt>
                <c:pt idx="22">
                  <c:v>12321</c:v>
                </c:pt>
                <c:pt idx="23">
                  <c:v>12321.5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5.9739038910075065E-3</c:v>
                </c:pt>
                <c:pt idx="1">
                  <c:v>-4.7533666402284729E-3</c:v>
                </c:pt>
                <c:pt idx="2">
                  <c:v>-4.7749398338558947E-3</c:v>
                </c:pt>
                <c:pt idx="3">
                  <c:v>-4.7803331322627506E-3</c:v>
                </c:pt>
                <c:pt idx="4">
                  <c:v>-3.4518980547665057E-2</c:v>
                </c:pt>
                <c:pt idx="5">
                  <c:v>-4.153026847657746E-2</c:v>
                </c:pt>
                <c:pt idx="6">
                  <c:v>-6.0180294367484455E-2</c:v>
                </c:pt>
                <c:pt idx="7">
                  <c:v>-6.0255800545180441E-2</c:v>
                </c:pt>
                <c:pt idx="8">
                  <c:v>-6.0282767037214718E-2</c:v>
                </c:pt>
                <c:pt idx="9">
                  <c:v>-6.8421254333159959E-2</c:v>
                </c:pt>
                <c:pt idx="10">
                  <c:v>-6.8782605326419291E-2</c:v>
                </c:pt>
                <c:pt idx="11">
                  <c:v>-6.8863504802522124E-2</c:v>
                </c:pt>
                <c:pt idx="12">
                  <c:v>-6.8912044488183832E-2</c:v>
                </c:pt>
                <c:pt idx="13">
                  <c:v>-6.9095416634016915E-2</c:v>
                </c:pt>
                <c:pt idx="14">
                  <c:v>-6.9321935167104859E-2</c:v>
                </c:pt>
                <c:pt idx="15">
                  <c:v>-6.932732846551172E-2</c:v>
                </c:pt>
                <c:pt idx="16">
                  <c:v>-8.8446571317815151E-2</c:v>
                </c:pt>
                <c:pt idx="17">
                  <c:v>-8.8451964616222012E-2</c:v>
                </c:pt>
                <c:pt idx="18">
                  <c:v>-9.7156748244887098E-2</c:v>
                </c:pt>
                <c:pt idx="19">
                  <c:v>-0.12677134979693172</c:v>
                </c:pt>
                <c:pt idx="20">
                  <c:v>-0.12679831628896598</c:v>
                </c:pt>
                <c:pt idx="21">
                  <c:v>-0.12680370958737286</c:v>
                </c:pt>
                <c:pt idx="22">
                  <c:v>-0.12692775545073054</c:v>
                </c:pt>
                <c:pt idx="23">
                  <c:v>-0.12693314874913741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CD7-47C1-9C2B-88020F640614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994.5</c:v>
                </c:pt>
                <c:pt idx="2">
                  <c:v>996.5</c:v>
                </c:pt>
                <c:pt idx="3">
                  <c:v>997</c:v>
                </c:pt>
                <c:pt idx="4">
                  <c:v>3754</c:v>
                </c:pt>
                <c:pt idx="5">
                  <c:v>4404</c:v>
                </c:pt>
                <c:pt idx="6">
                  <c:v>6133</c:v>
                </c:pt>
                <c:pt idx="7">
                  <c:v>6140</c:v>
                </c:pt>
                <c:pt idx="8">
                  <c:v>6142.5</c:v>
                </c:pt>
                <c:pt idx="9">
                  <c:v>6897</c:v>
                </c:pt>
                <c:pt idx="10">
                  <c:v>6930.5</c:v>
                </c:pt>
                <c:pt idx="11">
                  <c:v>6938</c:v>
                </c:pt>
                <c:pt idx="12">
                  <c:v>6942.5</c:v>
                </c:pt>
                <c:pt idx="13">
                  <c:v>6959.5</c:v>
                </c:pt>
                <c:pt idx="14">
                  <c:v>6980.5</c:v>
                </c:pt>
                <c:pt idx="15">
                  <c:v>6981</c:v>
                </c:pt>
                <c:pt idx="16">
                  <c:v>8753.5</c:v>
                </c:pt>
                <c:pt idx="17">
                  <c:v>8754</c:v>
                </c:pt>
                <c:pt idx="18">
                  <c:v>9561</c:v>
                </c:pt>
                <c:pt idx="19">
                  <c:v>12306.5</c:v>
                </c:pt>
                <c:pt idx="20">
                  <c:v>12309</c:v>
                </c:pt>
                <c:pt idx="21">
                  <c:v>12309.5</c:v>
                </c:pt>
                <c:pt idx="22">
                  <c:v>12321</c:v>
                </c:pt>
                <c:pt idx="23">
                  <c:v>12321.5</c:v>
                </c:pt>
              </c:numCache>
            </c:numRef>
          </c:xVal>
          <c:yVal>
            <c:numRef>
              <c:f>A!$U$21:$U$999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CD7-47C1-9C2B-88020F640614}"/>
            </c:ext>
          </c:extLst>
        </c:ser>
        <c:ser>
          <c:idx val="9"/>
          <c:order val="9"/>
          <c:tx>
            <c:strRef>
              <c:f>A!$W$1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A!$V$2:$V$17</c:f>
              <c:numCache>
                <c:formatCode>General</c:formatCode>
                <c:ptCount val="16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</c:numCache>
            </c:numRef>
          </c:xVal>
          <c:yVal>
            <c:numRef>
              <c:f>A!$W$2:$W$17</c:f>
              <c:numCache>
                <c:formatCode>General</c:formatCode>
                <c:ptCount val="16"/>
                <c:pt idx="0">
                  <c:v>-2.2287750295424281E-3</c:v>
                </c:pt>
                <c:pt idx="1">
                  <c:v>-9.6610980400730403E-3</c:v>
                </c:pt>
                <c:pt idx="2">
                  <c:v>-1.7641626814764194E-2</c:v>
                </c:pt>
                <c:pt idx="3">
                  <c:v>-2.6170361353615883E-2</c:v>
                </c:pt>
                <c:pt idx="4">
                  <c:v>-3.5247301656628122E-2</c:v>
                </c:pt>
                <c:pt idx="5">
                  <c:v>-4.487244772380089E-2</c:v>
                </c:pt>
                <c:pt idx="6">
                  <c:v>-5.5045799555134195E-2</c:v>
                </c:pt>
                <c:pt idx="7">
                  <c:v>-6.576735715062805E-2</c:v>
                </c:pt>
                <c:pt idx="8">
                  <c:v>-7.7037120510282442E-2</c:v>
                </c:pt>
                <c:pt idx="9">
                  <c:v>-8.885508963409737E-2</c:v>
                </c:pt>
                <c:pt idx="10">
                  <c:v>-0.10122126452207283</c:v>
                </c:pt>
                <c:pt idx="11">
                  <c:v>-0.11413564517420885</c:v>
                </c:pt>
                <c:pt idx="12">
                  <c:v>-0.1275982315905054</c:v>
                </c:pt>
                <c:pt idx="13">
                  <c:v>-0.14160902377096249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CD7-47C1-9C2B-88020F640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837232"/>
        <c:axId val="1"/>
      </c:scatterChart>
      <c:valAx>
        <c:axId val="886837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9652509652505"/>
              <c:y val="0.79179810725552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984555984555984E-2"/>
              <c:y val="0.343848580441640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837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92664092664092"/>
          <c:y val="0.85804416403785488"/>
          <c:w val="0.85135135135135132"/>
          <c:h val="0.1230283911671924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1047749</xdr:colOff>
      <xdr:row>0</xdr:row>
      <xdr:rowOff>0</xdr:rowOff>
    </xdr:from>
    <xdr:to>
      <xdr:col>19</xdr:col>
      <xdr:colOff>361949</xdr:colOff>
      <xdr:row>18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EE47A74-0880-FE38-8DF8-58998D482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40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19" max="19" width="10.28515625" style="3" customWidth="1"/>
  </cols>
  <sheetData>
    <row r="1" spans="1:23" ht="21" thickBot="1" x14ac:dyDescent="0.35">
      <c r="A1" s="1" t="s">
        <v>35</v>
      </c>
      <c r="V1" s="4" t="s">
        <v>9</v>
      </c>
      <c r="W1" s="5" t="s">
        <v>20</v>
      </c>
    </row>
    <row r="2" spans="1:23" s="20" customFormat="1" ht="12.95" customHeight="1" x14ac:dyDescent="0.2">
      <c r="A2" s="20" t="s">
        <v>22</v>
      </c>
      <c r="B2" s="20" t="s">
        <v>36</v>
      </c>
      <c r="C2" s="21"/>
      <c r="D2" s="21"/>
      <c r="S2" s="21"/>
      <c r="V2" s="22">
        <v>0</v>
      </c>
      <c r="W2" s="22">
        <f t="shared" ref="W2:W15" si="0">+D$11+D$12*V2+D$13*V2^2</f>
        <v>-2.2287750295424281E-3</v>
      </c>
    </row>
    <row r="3" spans="1:23" s="20" customFormat="1" ht="12.95" customHeight="1" thickBot="1" x14ac:dyDescent="0.25">
      <c r="S3" s="21"/>
      <c r="V3" s="22">
        <v>1000</v>
      </c>
      <c r="W3" s="22">
        <f t="shared" si="0"/>
        <v>-9.6610980400730403E-3</v>
      </c>
    </row>
    <row r="4" spans="1:23" s="20" customFormat="1" ht="12.95" customHeight="1" thickTop="1" thickBot="1" x14ac:dyDescent="0.25">
      <c r="A4" s="23" t="s">
        <v>0</v>
      </c>
      <c r="C4" s="24" t="s">
        <v>33</v>
      </c>
      <c r="D4" s="25" t="s">
        <v>33</v>
      </c>
      <c r="S4" s="21"/>
      <c r="V4" s="22">
        <v>2000</v>
      </c>
      <c r="W4" s="22">
        <f t="shared" si="0"/>
        <v>-1.7641626814764194E-2</v>
      </c>
    </row>
    <row r="5" spans="1:23" s="20" customFormat="1" ht="12.95" customHeight="1" thickTop="1" x14ac:dyDescent="0.2">
      <c r="A5" s="26" t="s">
        <v>24</v>
      </c>
      <c r="C5" s="27">
        <v>-9.5</v>
      </c>
      <c r="D5" s="20" t="s">
        <v>25</v>
      </c>
      <c r="S5" s="21"/>
      <c r="V5" s="22">
        <v>3000</v>
      </c>
      <c r="W5" s="22">
        <f t="shared" si="0"/>
        <v>-2.6170361353615883E-2</v>
      </c>
    </row>
    <row r="6" spans="1:23" s="20" customFormat="1" ht="12.95" customHeight="1" x14ac:dyDescent="0.2">
      <c r="A6" s="23" t="s">
        <v>1</v>
      </c>
      <c r="S6" s="21"/>
      <c r="V6" s="22">
        <v>4000</v>
      </c>
      <c r="W6" s="22">
        <f t="shared" si="0"/>
        <v>-3.5247301656628122E-2</v>
      </c>
    </row>
    <row r="7" spans="1:23" s="20" customFormat="1" ht="12.95" customHeight="1" x14ac:dyDescent="0.2">
      <c r="A7" s="20" t="s">
        <v>2</v>
      </c>
      <c r="C7" s="28">
        <v>52885.246899999998</v>
      </c>
      <c r="D7" s="29" t="s">
        <v>34</v>
      </c>
      <c r="S7" s="21"/>
      <c r="V7" s="22">
        <v>5000</v>
      </c>
      <c r="W7" s="22">
        <f t="shared" si="0"/>
        <v>-4.487244772380089E-2</v>
      </c>
    </row>
    <row r="8" spans="1:23" s="20" customFormat="1" ht="12.95" customHeight="1" x14ac:dyDescent="0.2">
      <c r="A8" s="20" t="s">
        <v>3</v>
      </c>
      <c r="C8" s="28">
        <v>0.41746100000000003</v>
      </c>
      <c r="D8" s="29" t="s">
        <v>34</v>
      </c>
      <c r="S8" s="21"/>
      <c r="V8" s="22">
        <v>6000</v>
      </c>
      <c r="W8" s="22">
        <f t="shared" si="0"/>
        <v>-5.5045799555134195E-2</v>
      </c>
    </row>
    <row r="9" spans="1:23" s="20" customFormat="1" ht="12.95" customHeight="1" x14ac:dyDescent="0.2">
      <c r="A9" s="30" t="s">
        <v>28</v>
      </c>
      <c r="B9" s="31">
        <v>21</v>
      </c>
      <c r="C9" s="32" t="str">
        <f>"F"&amp;B9</f>
        <v>F21</v>
      </c>
      <c r="D9" s="33" t="str">
        <f>"G"&amp;B9</f>
        <v>G21</v>
      </c>
      <c r="S9" s="21"/>
      <c r="V9" s="22">
        <v>7000</v>
      </c>
      <c r="W9" s="22">
        <f t="shared" si="0"/>
        <v>-6.576735715062805E-2</v>
      </c>
    </row>
    <row r="10" spans="1:23" s="20" customFormat="1" ht="12.95" customHeight="1" thickBot="1" x14ac:dyDescent="0.25">
      <c r="C10" s="34" t="s">
        <v>18</v>
      </c>
      <c r="D10" s="34" t="s">
        <v>19</v>
      </c>
      <c r="S10" s="21"/>
      <c r="V10" s="22">
        <v>8000</v>
      </c>
      <c r="W10" s="22">
        <f t="shared" si="0"/>
        <v>-7.7037120510282442E-2</v>
      </c>
    </row>
    <row r="11" spans="1:23" s="20" customFormat="1" ht="12.95" customHeight="1" x14ac:dyDescent="0.2">
      <c r="A11" s="20" t="s">
        <v>14</v>
      </c>
      <c r="C11" s="33">
        <f ca="1">INTERCEPT(INDIRECT($D$9):G992,INDIRECT($C$9):F992)</f>
        <v>5.9739038910075065E-3</v>
      </c>
      <c r="D11" s="35">
        <f>+E11*F11</f>
        <v>-2.2287750295424281E-3</v>
      </c>
      <c r="E11" s="36">
        <v>-2.2287750295424281E-3</v>
      </c>
      <c r="F11" s="20">
        <v>1</v>
      </c>
      <c r="S11" s="21"/>
      <c r="V11" s="22">
        <v>9000</v>
      </c>
      <c r="W11" s="22">
        <f t="shared" si="0"/>
        <v>-8.885508963409737E-2</v>
      </c>
    </row>
    <row r="12" spans="1:23" s="20" customFormat="1" ht="12.95" customHeight="1" x14ac:dyDescent="0.2">
      <c r="A12" s="20" t="s">
        <v>15</v>
      </c>
      <c r="C12" s="33">
        <f ca="1">SLOPE(INDIRECT($D$9):G992,INDIRECT($C$9):F992)</f>
        <v>-1.0786596813711391E-5</v>
      </c>
      <c r="D12" s="35">
        <f>+E12*F12</f>
        <v>-7.1582201284503434E-6</v>
      </c>
      <c r="E12" s="37">
        <v>-7.1582201284503433E-2</v>
      </c>
      <c r="F12" s="38">
        <v>1E-4</v>
      </c>
      <c r="S12" s="21"/>
      <c r="V12" s="22">
        <v>10000</v>
      </c>
      <c r="W12" s="22">
        <f t="shared" si="0"/>
        <v>-0.10122126452207283</v>
      </c>
    </row>
    <row r="13" spans="1:23" s="20" customFormat="1" ht="12.95" customHeight="1" thickBot="1" x14ac:dyDescent="0.25">
      <c r="A13" s="20" t="s">
        <v>17</v>
      </c>
      <c r="C13" s="21" t="s">
        <v>12</v>
      </c>
      <c r="D13" s="35">
        <f>+E13*F13</f>
        <v>-2.7410288208026982E-10</v>
      </c>
      <c r="E13" s="39">
        <v>-2.7410288208026982E-2</v>
      </c>
      <c r="F13" s="38">
        <v>1E-8</v>
      </c>
      <c r="S13" s="21"/>
      <c r="V13" s="22">
        <v>11000</v>
      </c>
      <c r="W13" s="22">
        <f t="shared" si="0"/>
        <v>-0.11413564517420885</v>
      </c>
    </row>
    <row r="14" spans="1:23" s="20" customFormat="1" ht="12.95" customHeight="1" x14ac:dyDescent="0.2">
      <c r="E14" s="20">
        <f>SUM(T21:T950)</f>
        <v>3.534904134439813E-5</v>
      </c>
      <c r="S14" s="21"/>
      <c r="V14" s="22">
        <v>12000</v>
      </c>
      <c r="W14" s="22">
        <f t="shared" si="0"/>
        <v>-0.1275982315905054</v>
      </c>
    </row>
    <row r="15" spans="1:23" s="20" customFormat="1" ht="12.95" customHeight="1" x14ac:dyDescent="0.2">
      <c r="A15" s="40" t="s">
        <v>16</v>
      </c>
      <c r="C15" s="35">
        <f ca="1">(C7+C11)+(C8+C12)*INT(MAX(F21:F3533))</f>
        <v>58028.65695324455</v>
      </c>
      <c r="D15" s="33">
        <f>+C7+INT(MAX(F21:F1588))*C8+D11+D12*INT(MAX(F21:F4023))+D13*INT(MAX(F21:F4050)^2)</f>
        <v>58028.651841670078</v>
      </c>
      <c r="E15" s="41" t="s">
        <v>30</v>
      </c>
      <c r="F15" s="27">
        <v>1</v>
      </c>
      <c r="S15" s="21"/>
      <c r="V15" s="22">
        <v>13000</v>
      </c>
      <c r="W15" s="22">
        <f t="shared" si="0"/>
        <v>-0.14160902377096249</v>
      </c>
    </row>
    <row r="16" spans="1:23" s="20" customFormat="1" ht="12.95" customHeight="1" x14ac:dyDescent="0.2">
      <c r="A16" s="23" t="s">
        <v>4</v>
      </c>
      <c r="C16" s="42">
        <f ca="1">+C8+C12</f>
        <v>0.41745021340318633</v>
      </c>
      <c r="D16" s="33">
        <f>+C8+D12+2*D13*MAX(F21:F896)</f>
        <v>0.41744708706254846</v>
      </c>
      <c r="E16" s="41" t="s">
        <v>26</v>
      </c>
      <c r="F16" s="43">
        <f ca="1">NOW()+15018.5+$C$5/24</f>
        <v>60371.81373321759</v>
      </c>
      <c r="S16" s="21"/>
      <c r="V16" s="22"/>
      <c r="W16" s="22"/>
    </row>
    <row r="17" spans="1:23" s="20" customFormat="1" ht="12.95" customHeight="1" thickBot="1" x14ac:dyDescent="0.25">
      <c r="A17" s="41" t="s">
        <v>23</v>
      </c>
      <c r="C17" s="20">
        <f>COUNT(C21:C2191)</f>
        <v>24</v>
      </c>
      <c r="E17" s="41" t="s">
        <v>31</v>
      </c>
      <c r="F17" s="43">
        <f ca="1">ROUND(2*(F16-$C$7)/$C$8,0)/2+F15</f>
        <v>17934.5</v>
      </c>
      <c r="S17" s="21"/>
      <c r="V17" s="22"/>
      <c r="W17" s="22"/>
    </row>
    <row r="18" spans="1:23" s="20" customFormat="1" ht="12.95" customHeight="1" thickTop="1" thickBot="1" x14ac:dyDescent="0.25">
      <c r="A18" s="23" t="s">
        <v>79</v>
      </c>
      <c r="C18" s="44">
        <f ca="1">+C15</f>
        <v>58028.65695324455</v>
      </c>
      <c r="D18" s="45">
        <f ca="1">C16</f>
        <v>0.41745021340318633</v>
      </c>
      <c r="E18" s="41" t="s">
        <v>32</v>
      </c>
      <c r="F18" s="33">
        <f ca="1">ROUND(2*(F16-$C$15)/$C$16,0)/2+F15</f>
        <v>5614</v>
      </c>
      <c r="S18" s="21"/>
    </row>
    <row r="19" spans="1:23" s="20" customFormat="1" ht="12.95" customHeight="1" thickBot="1" x14ac:dyDescent="0.25">
      <c r="A19" s="23" t="s">
        <v>80</v>
      </c>
      <c r="C19" s="46">
        <f>+D15</f>
        <v>58028.651841670078</v>
      </c>
      <c r="D19" s="47">
        <f>+D16</f>
        <v>0.41744708706254846</v>
      </c>
      <c r="E19" s="41" t="s">
        <v>27</v>
      </c>
      <c r="F19" s="48">
        <f ca="1">+$C$15+$C$16*F18-15018.5-$C$5/24</f>
        <v>45354.118284623371</v>
      </c>
      <c r="S19" s="21"/>
    </row>
    <row r="20" spans="1:23" s="20" customFormat="1" ht="12.95" customHeight="1" thickBot="1" x14ac:dyDescent="0.25">
      <c r="A20" s="34" t="s">
        <v>5</v>
      </c>
      <c r="B20" s="34" t="s">
        <v>6</v>
      </c>
      <c r="C20" s="34" t="s">
        <v>7</v>
      </c>
      <c r="D20" s="34" t="s">
        <v>11</v>
      </c>
      <c r="E20" s="34" t="s">
        <v>8</v>
      </c>
      <c r="F20" s="34" t="s">
        <v>9</v>
      </c>
      <c r="G20" s="34" t="s">
        <v>10</v>
      </c>
      <c r="H20" s="49" t="s">
        <v>72</v>
      </c>
      <c r="I20" s="49" t="s">
        <v>73</v>
      </c>
      <c r="J20" s="49" t="s">
        <v>74</v>
      </c>
      <c r="K20" s="49" t="s">
        <v>75</v>
      </c>
      <c r="L20" s="49" t="s">
        <v>76</v>
      </c>
      <c r="M20" s="49" t="s">
        <v>77</v>
      </c>
      <c r="N20" s="49" t="s">
        <v>78</v>
      </c>
      <c r="O20" s="49" t="s">
        <v>21</v>
      </c>
      <c r="P20" s="50" t="s">
        <v>20</v>
      </c>
      <c r="Q20" s="34" t="s">
        <v>13</v>
      </c>
      <c r="R20" s="51" t="s">
        <v>81</v>
      </c>
      <c r="S20" s="52" t="s">
        <v>82</v>
      </c>
      <c r="T20" s="51" t="s">
        <v>83</v>
      </c>
      <c r="U20" s="53" t="s">
        <v>29</v>
      </c>
    </row>
    <row r="21" spans="1:23" s="20" customFormat="1" ht="12.95" customHeight="1" x14ac:dyDescent="0.2">
      <c r="A21" s="20" t="s">
        <v>34</v>
      </c>
      <c r="C21" s="54">
        <f>C$7</f>
        <v>52885.246899999998</v>
      </c>
      <c r="D21" s="54" t="s">
        <v>12</v>
      </c>
      <c r="E21" s="20">
        <f t="shared" ref="E21:E38" si="1">+(C21-C$7)/C$8</f>
        <v>0</v>
      </c>
      <c r="F21" s="20">
        <f t="shared" ref="F21:F39" si="2">ROUND(2*E21,0)/2</f>
        <v>0</v>
      </c>
      <c r="G21" s="20">
        <f t="shared" ref="G21:G38" si="3">+C21-(C$7+F21*C$8)</f>
        <v>0</v>
      </c>
      <c r="K21" s="20">
        <f>+G21</f>
        <v>0</v>
      </c>
      <c r="O21" s="20">
        <f t="shared" ref="O21:O38" ca="1" si="4">+C$11+C$12*$F21</f>
        <v>5.9739038910075065E-3</v>
      </c>
      <c r="P21" s="30">
        <f>+D$11+D$12*F21+D$13*F21^2</f>
        <v>-2.2287750295424281E-3</v>
      </c>
      <c r="Q21" s="55">
        <f>+C21-15018.5</f>
        <v>37866.746899999998</v>
      </c>
      <c r="R21" s="22">
        <f>+(P21-G21)^2</f>
        <v>4.9674381323118512E-6</v>
      </c>
      <c r="S21" s="56">
        <v>1</v>
      </c>
      <c r="T21" s="22">
        <f>+S21*R21</f>
        <v>4.9674381323118512E-6</v>
      </c>
    </row>
    <row r="22" spans="1:23" s="20" customFormat="1" ht="12.95" customHeight="1" x14ac:dyDescent="0.2">
      <c r="A22" s="12" t="s">
        <v>39</v>
      </c>
      <c r="B22" s="57" t="s">
        <v>38</v>
      </c>
      <c r="C22" s="58">
        <v>53300.401400000002</v>
      </c>
      <c r="D22" s="58">
        <v>2.0000000000000001E-4</v>
      </c>
      <c r="E22" s="20">
        <f t="shared" si="1"/>
        <v>994.47493298776214</v>
      </c>
      <c r="F22" s="20">
        <f t="shared" si="2"/>
        <v>994.5</v>
      </c>
      <c r="G22" s="20">
        <f t="shared" si="3"/>
        <v>-1.046449999557808E-2</v>
      </c>
      <c r="K22" s="20">
        <f>+G22</f>
        <v>-1.046449999557808E-2</v>
      </c>
      <c r="O22" s="20">
        <f t="shared" ca="1" si="4"/>
        <v>-4.7533666402284729E-3</v>
      </c>
      <c r="P22" s="30">
        <f t="shared" ref="P22:P44" si="5">+D$11+D$12*F22+D$13*F22^2</f>
        <v>-9.6187209892758634E-3</v>
      </c>
      <c r="Q22" s="59">
        <f t="shared" ref="Q22:Q38" si="6">+C22-15018.5</f>
        <v>38281.901400000002</v>
      </c>
      <c r="R22" s="22">
        <f>+(P22-G22)^2</f>
        <v>7.1534212750156567E-7</v>
      </c>
      <c r="S22" s="56">
        <v>1</v>
      </c>
      <c r="T22" s="22">
        <f>+S22*R22</f>
        <v>7.1534212750156567E-7</v>
      </c>
    </row>
    <row r="23" spans="1:23" s="20" customFormat="1" ht="12.95" customHeight="1" x14ac:dyDescent="0.2">
      <c r="A23" s="12" t="s">
        <v>39</v>
      </c>
      <c r="B23" s="57" t="s">
        <v>38</v>
      </c>
      <c r="C23" s="58">
        <v>53301.236499999999</v>
      </c>
      <c r="D23" s="58">
        <v>1E-4</v>
      </c>
      <c r="E23" s="20">
        <f t="shared" si="1"/>
        <v>996.47535937488954</v>
      </c>
      <c r="F23" s="20">
        <f t="shared" si="2"/>
        <v>996.5</v>
      </c>
      <c r="G23" s="20">
        <f t="shared" si="3"/>
        <v>-1.0286500000802334E-2</v>
      </c>
      <c r="K23" s="20">
        <f>+G23</f>
        <v>-1.0286500000802334E-2</v>
      </c>
      <c r="O23" s="20">
        <f t="shared" ca="1" si="4"/>
        <v>-4.7749398338558947E-3</v>
      </c>
      <c r="P23" s="30">
        <f t="shared" si="5"/>
        <v>-9.6341289072092075E-3</v>
      </c>
      <c r="Q23" s="59">
        <f t="shared" si="6"/>
        <v>38282.736499999999</v>
      </c>
      <c r="R23" s="22">
        <f t="shared" ref="R23:R44" si="7">+(P23-G23)^2</f>
        <v>4.2558804375589229E-7</v>
      </c>
      <c r="S23" s="56">
        <v>1</v>
      </c>
      <c r="T23" s="22">
        <f t="shared" ref="T23:T44" si="8">+S23*R23</f>
        <v>4.2558804375589229E-7</v>
      </c>
    </row>
    <row r="24" spans="1:23" s="20" customFormat="1" ht="12.95" customHeight="1" x14ac:dyDescent="0.2">
      <c r="A24" s="12" t="s">
        <v>39</v>
      </c>
      <c r="B24" s="57" t="s">
        <v>40</v>
      </c>
      <c r="C24" s="58">
        <v>53301.444300000003</v>
      </c>
      <c r="D24" s="58">
        <v>1E-4</v>
      </c>
      <c r="E24" s="20">
        <f t="shared" si="1"/>
        <v>996.97313042417022</v>
      </c>
      <c r="F24" s="20">
        <f t="shared" si="2"/>
        <v>997</v>
      </c>
      <c r="G24" s="20">
        <f t="shared" si="3"/>
        <v>-1.1216999992029741E-2</v>
      </c>
      <c r="K24" s="20">
        <f>+G24</f>
        <v>-1.1216999992029741E-2</v>
      </c>
      <c r="O24" s="20">
        <f t="shared" ca="1" si="4"/>
        <v>-4.7803331322627506E-3</v>
      </c>
      <c r="P24" s="30">
        <f t="shared" si="5"/>
        <v>-9.6379812293211457E-3</v>
      </c>
      <c r="Q24" s="59">
        <f t="shared" si="6"/>
        <v>38282.944300000003</v>
      </c>
      <c r="R24" s="22">
        <f t="shared" si="7"/>
        <v>2.4933002529857845E-6</v>
      </c>
      <c r="S24" s="56">
        <v>1</v>
      </c>
      <c r="T24" s="22">
        <f t="shared" si="8"/>
        <v>2.4933002529857845E-6</v>
      </c>
    </row>
    <row r="25" spans="1:23" s="20" customFormat="1" ht="12.95" customHeight="1" x14ac:dyDescent="0.2">
      <c r="A25" s="12" t="s">
        <v>41</v>
      </c>
      <c r="B25" s="13" t="s">
        <v>38</v>
      </c>
      <c r="C25" s="12">
        <v>54452.364000000001</v>
      </c>
      <c r="D25" s="12">
        <v>1E-3</v>
      </c>
      <c r="E25" s="20">
        <f t="shared" si="1"/>
        <v>3753.9245582222125</v>
      </c>
      <c r="F25" s="20">
        <f t="shared" si="2"/>
        <v>3754</v>
      </c>
      <c r="G25" s="20">
        <f t="shared" si="3"/>
        <v>-3.1493999995291233E-2</v>
      </c>
      <c r="K25" s="20">
        <f>+G25</f>
        <v>-3.1493999995291233E-2</v>
      </c>
      <c r="O25" s="20">
        <f t="shared" ca="1" si="4"/>
        <v>-3.4518980547665057E-2</v>
      </c>
      <c r="P25" s="30">
        <f t="shared" si="5"/>
        <v>-3.2963532643107328E-2</v>
      </c>
      <c r="Q25" s="59">
        <f t="shared" si="6"/>
        <v>39433.864000000001</v>
      </c>
      <c r="R25" s="22">
        <f t="shared" si="7"/>
        <v>2.1595262029973832E-6</v>
      </c>
      <c r="S25" s="56">
        <v>1</v>
      </c>
      <c r="T25" s="22">
        <f t="shared" si="8"/>
        <v>2.1595262029973832E-6</v>
      </c>
    </row>
    <row r="26" spans="1:23" s="20" customFormat="1" ht="12.95" customHeight="1" x14ac:dyDescent="0.2">
      <c r="A26" s="60" t="s">
        <v>42</v>
      </c>
      <c r="B26" s="61"/>
      <c r="C26" s="62">
        <v>54723.705000000002</v>
      </c>
      <c r="D26" s="12">
        <v>2.0000000000000001E-4</v>
      </c>
      <c r="E26" s="20">
        <f t="shared" si="1"/>
        <v>4403.9038377237712</v>
      </c>
      <c r="F26" s="20">
        <f t="shared" si="2"/>
        <v>4404</v>
      </c>
      <c r="G26" s="20">
        <f t="shared" si="3"/>
        <v>-4.014399999869056E-2</v>
      </c>
      <c r="K26" s="20">
        <f t="shared" ref="K26:K44" si="9">+G26</f>
        <v>-4.014399999869056E-2</v>
      </c>
      <c r="O26" s="20">
        <f t="shared" ca="1" si="4"/>
        <v>-4.153026847657746E-2</v>
      </c>
      <c r="P26" s="30">
        <f t="shared" si="5"/>
        <v>-3.9069861079407103E-2</v>
      </c>
      <c r="Q26" s="59">
        <f t="shared" si="6"/>
        <v>39705.205000000002</v>
      </c>
      <c r="R26" s="22">
        <f t="shared" si="7"/>
        <v>1.1537744179194332E-6</v>
      </c>
      <c r="S26" s="56">
        <v>1</v>
      </c>
      <c r="T26" s="22">
        <f t="shared" si="8"/>
        <v>1.1537744179194332E-6</v>
      </c>
    </row>
    <row r="27" spans="1:23" s="20" customFormat="1" ht="12.95" customHeight="1" x14ac:dyDescent="0.2">
      <c r="A27" s="63" t="s">
        <v>43</v>
      </c>
      <c r="B27" s="57" t="s">
        <v>38</v>
      </c>
      <c r="C27" s="64">
        <v>55445.477800000001</v>
      </c>
      <c r="D27" s="58">
        <v>6.9999999999999999E-4</v>
      </c>
      <c r="E27" s="20">
        <f t="shared" si="1"/>
        <v>6132.8624709853184</v>
      </c>
      <c r="F27" s="20">
        <f t="shared" si="2"/>
        <v>6133</v>
      </c>
      <c r="G27" s="20">
        <f t="shared" si="3"/>
        <v>-5.7412999994994607E-2</v>
      </c>
      <c r="K27" s="20">
        <f t="shared" si="9"/>
        <v>-5.7412999994994607E-2</v>
      </c>
      <c r="O27" s="20">
        <f t="shared" ca="1" si="4"/>
        <v>-6.0180294367484455E-2</v>
      </c>
      <c r="P27" s="30">
        <f t="shared" si="5"/>
        <v>-5.644015963789932E-2</v>
      </c>
      <c r="Q27" s="59">
        <f t="shared" si="6"/>
        <v>40426.977800000001</v>
      </c>
      <c r="R27" s="22">
        <f t="shared" si="7"/>
        <v>9.4641836039328455E-7</v>
      </c>
      <c r="S27" s="56">
        <v>1</v>
      </c>
      <c r="T27" s="22">
        <f t="shared" si="8"/>
        <v>9.4641836039328455E-7</v>
      </c>
    </row>
    <row r="28" spans="1:23" s="20" customFormat="1" ht="12.95" customHeight="1" x14ac:dyDescent="0.2">
      <c r="A28" s="63" t="s">
        <v>43</v>
      </c>
      <c r="B28" s="57" t="s">
        <v>38</v>
      </c>
      <c r="C28" s="58">
        <v>55448.400099999999</v>
      </c>
      <c r="D28" s="58">
        <v>4.0000000000000002E-4</v>
      </c>
      <c r="E28" s="20">
        <f t="shared" si="1"/>
        <v>6139.8626458519493</v>
      </c>
      <c r="F28" s="20">
        <f t="shared" si="2"/>
        <v>6140</v>
      </c>
      <c r="G28" s="20">
        <f t="shared" si="3"/>
        <v>-5.7339999999385327E-2</v>
      </c>
      <c r="K28" s="20">
        <f t="shared" si="9"/>
        <v>-5.7339999999385327E-2</v>
      </c>
      <c r="O28" s="20">
        <f t="shared" ca="1" si="4"/>
        <v>-6.0255800545180441E-2</v>
      </c>
      <c r="P28" s="30">
        <f t="shared" si="5"/>
        <v>-5.6513815631500874E-2</v>
      </c>
      <c r="Q28" s="59">
        <f t="shared" si="6"/>
        <v>40429.900099999999</v>
      </c>
      <c r="R28" s="22">
        <f t="shared" si="7"/>
        <v>6.8258060973663269E-7</v>
      </c>
      <c r="S28" s="56">
        <v>1</v>
      </c>
      <c r="T28" s="22">
        <f t="shared" si="8"/>
        <v>6.8258060973663269E-7</v>
      </c>
    </row>
    <row r="29" spans="1:23" x14ac:dyDescent="0.2">
      <c r="A29" s="14" t="s">
        <v>43</v>
      </c>
      <c r="B29" s="10" t="s">
        <v>40</v>
      </c>
      <c r="C29" s="11">
        <v>55449.4447</v>
      </c>
      <c r="D29" s="11">
        <v>6.9999999999999999E-4</v>
      </c>
      <c r="E29">
        <f t="shared" si="1"/>
        <v>6142.3649155250469</v>
      </c>
      <c r="F29">
        <f t="shared" si="2"/>
        <v>6142.5</v>
      </c>
      <c r="G29">
        <f t="shared" si="3"/>
        <v>-5.6392499995126855E-2</v>
      </c>
      <c r="K29">
        <f t="shared" si="9"/>
        <v>-5.6392499995126855E-2</v>
      </c>
      <c r="O29">
        <f t="shared" ca="1" si="4"/>
        <v>-6.0282767037214718E-2</v>
      </c>
      <c r="P29" s="17">
        <f t="shared" si="5"/>
        <v>-5.654012785344488E-2</v>
      </c>
      <c r="Q29" s="2">
        <f t="shared" si="6"/>
        <v>40430.9447</v>
      </c>
      <c r="R29" s="18">
        <f t="shared" si="7"/>
        <v>2.1793984551566912E-8</v>
      </c>
      <c r="S29" s="19">
        <v>1</v>
      </c>
      <c r="T29" s="18">
        <f t="shared" si="8"/>
        <v>2.1793984551566912E-8</v>
      </c>
    </row>
    <row r="30" spans="1:23" x14ac:dyDescent="0.2">
      <c r="A30" s="9" t="s">
        <v>44</v>
      </c>
      <c r="B30" s="15" t="s">
        <v>38</v>
      </c>
      <c r="C30" s="9">
        <v>55764.410600000003</v>
      </c>
      <c r="D30" s="9">
        <v>1E-3</v>
      </c>
      <c r="E30">
        <f t="shared" si="1"/>
        <v>6896.8447351968316</v>
      </c>
      <c r="F30">
        <f t="shared" si="2"/>
        <v>6897</v>
      </c>
      <c r="G30">
        <f t="shared" si="3"/>
        <v>-6.4816999998583924E-2</v>
      </c>
      <c r="K30">
        <f t="shared" si="9"/>
        <v>-6.4816999998583924E-2</v>
      </c>
      <c r="O30">
        <f t="shared" ca="1" si="4"/>
        <v>-6.8421254333159959E-2</v>
      </c>
      <c r="P30" s="17">
        <f t="shared" si="5"/>
        <v>-6.4637712078913903E-2</v>
      </c>
      <c r="Q30" s="2">
        <f t="shared" si="6"/>
        <v>40745.910600000003</v>
      </c>
      <c r="R30" s="18">
        <f t="shared" si="7"/>
        <v>3.2144158139603865E-8</v>
      </c>
      <c r="S30" s="19">
        <v>1</v>
      </c>
      <c r="T30" s="18">
        <f t="shared" si="8"/>
        <v>3.2144158139603865E-8</v>
      </c>
    </row>
    <row r="31" spans="1:23" x14ac:dyDescent="0.2">
      <c r="A31" s="9" t="s">
        <v>44</v>
      </c>
      <c r="B31" s="15" t="s">
        <v>40</v>
      </c>
      <c r="C31" s="9">
        <v>55778.3963</v>
      </c>
      <c r="D31" s="9">
        <v>5.9999999999999995E-4</v>
      </c>
      <c r="E31">
        <f t="shared" si="1"/>
        <v>6930.3465473421511</v>
      </c>
      <c r="F31">
        <f t="shared" si="2"/>
        <v>6930.5</v>
      </c>
      <c r="G31">
        <f t="shared" si="3"/>
        <v>-6.406050000077812E-2</v>
      </c>
      <c r="K31">
        <f t="shared" si="9"/>
        <v>-6.406050000077812E-2</v>
      </c>
      <c r="O31">
        <f t="shared" ca="1" si="4"/>
        <v>-6.8782605326419291E-2</v>
      </c>
      <c r="P31" s="17">
        <f t="shared" si="5"/>
        <v>-6.5004482732882812E-2</v>
      </c>
      <c r="Q31" s="2">
        <f t="shared" si="6"/>
        <v>40759.8963</v>
      </c>
      <c r="R31" s="18">
        <f t="shared" si="7"/>
        <v>8.9110339851183932E-7</v>
      </c>
      <c r="S31" s="19">
        <v>1</v>
      </c>
      <c r="T31" s="18">
        <f t="shared" si="8"/>
        <v>8.9110339851183932E-7</v>
      </c>
    </row>
    <row r="32" spans="1:23" x14ac:dyDescent="0.2">
      <c r="A32" s="9" t="s">
        <v>44</v>
      </c>
      <c r="B32" s="15" t="s">
        <v>38</v>
      </c>
      <c r="C32" s="9">
        <v>55781.525500000003</v>
      </c>
      <c r="D32" s="9">
        <v>2.9999999999999997E-4</v>
      </c>
      <c r="E32">
        <f t="shared" si="1"/>
        <v>6937.8423373680534</v>
      </c>
      <c r="F32">
        <f t="shared" si="2"/>
        <v>6938</v>
      </c>
      <c r="G32">
        <f t="shared" si="3"/>
        <v>-6.5817999995488208E-2</v>
      </c>
      <c r="K32">
        <f t="shared" si="9"/>
        <v>-6.5817999995488208E-2</v>
      </c>
      <c r="O32">
        <f t="shared" ca="1" si="4"/>
        <v>-6.8863504802522124E-2</v>
      </c>
      <c r="P32" s="17">
        <f t="shared" si="5"/>
        <v>-6.5086679852497178E-2</v>
      </c>
      <c r="Q32" s="2">
        <f t="shared" si="6"/>
        <v>40763.025500000003</v>
      </c>
      <c r="R32" s="18">
        <f t="shared" si="7"/>
        <v>5.3482915154441954E-7</v>
      </c>
      <c r="S32" s="19">
        <v>1</v>
      </c>
      <c r="T32" s="18">
        <f t="shared" si="8"/>
        <v>5.3482915154441954E-7</v>
      </c>
    </row>
    <row r="33" spans="1:20" x14ac:dyDescent="0.2">
      <c r="A33" s="9" t="s">
        <v>44</v>
      </c>
      <c r="B33" s="15" t="s">
        <v>40</v>
      </c>
      <c r="C33" s="9">
        <v>55783.405899999998</v>
      </c>
      <c r="D33" s="9">
        <v>8.9999999999999998E-4</v>
      </c>
      <c r="E33">
        <f t="shared" si="1"/>
        <v>6942.3467102316135</v>
      </c>
      <c r="F33">
        <f t="shared" si="2"/>
        <v>6942.5</v>
      </c>
      <c r="G33">
        <f t="shared" si="3"/>
        <v>-6.3992499999585561E-2</v>
      </c>
      <c r="K33">
        <f t="shared" si="9"/>
        <v>-6.3992499999585561E-2</v>
      </c>
      <c r="O33">
        <f t="shared" ca="1" si="4"/>
        <v>-6.8912044488183832E-2</v>
      </c>
      <c r="P33" s="17">
        <f t="shared" si="5"/>
        <v>-6.5136012925821413E-2</v>
      </c>
      <c r="Q33" s="2">
        <f t="shared" si="6"/>
        <v>40764.905899999998</v>
      </c>
      <c r="R33" s="18">
        <f t="shared" si="7"/>
        <v>1.3076218124684792E-6</v>
      </c>
      <c r="S33" s="19">
        <v>1</v>
      </c>
      <c r="T33" s="18">
        <f t="shared" si="8"/>
        <v>1.3076218124684792E-6</v>
      </c>
    </row>
    <row r="34" spans="1:20" x14ac:dyDescent="0.2">
      <c r="A34" s="9" t="s">
        <v>44</v>
      </c>
      <c r="B34" s="15" t="s">
        <v>40</v>
      </c>
      <c r="C34" s="9">
        <v>55790.502399999998</v>
      </c>
      <c r="D34" s="9">
        <v>5.9999999999999995E-4</v>
      </c>
      <c r="E34">
        <f t="shared" si="1"/>
        <v>6959.3459029705746</v>
      </c>
      <c r="F34">
        <f t="shared" si="2"/>
        <v>6959.5</v>
      </c>
      <c r="G34">
        <f t="shared" si="3"/>
        <v>-6.4329500004532747E-2</v>
      </c>
      <c r="K34">
        <f t="shared" si="9"/>
        <v>-6.4329500004532747E-2</v>
      </c>
      <c r="O34">
        <f t="shared" ca="1" si="4"/>
        <v>-6.9095416634016915E-2</v>
      </c>
      <c r="P34" s="17">
        <f t="shared" si="5"/>
        <v>-6.5322482498538628E-2</v>
      </c>
      <c r="Q34" s="2">
        <f t="shared" si="6"/>
        <v>40772.002399999998</v>
      </c>
      <c r="R34" s="18">
        <f t="shared" si="7"/>
        <v>9.8601423340213993E-7</v>
      </c>
      <c r="S34" s="19">
        <v>1</v>
      </c>
      <c r="T34" s="18">
        <f t="shared" si="8"/>
        <v>9.8601423340213993E-7</v>
      </c>
    </row>
    <row r="35" spans="1:20" x14ac:dyDescent="0.2">
      <c r="A35" s="9" t="s">
        <v>44</v>
      </c>
      <c r="B35" s="15" t="s">
        <v>40</v>
      </c>
      <c r="C35" s="9">
        <v>55799.268100000001</v>
      </c>
      <c r="D35" s="9">
        <v>4.0000000000000002E-4</v>
      </c>
      <c r="E35">
        <f t="shared" si="1"/>
        <v>6980.3435530504712</v>
      </c>
      <c r="F35">
        <f t="shared" si="2"/>
        <v>6980.5</v>
      </c>
      <c r="G35">
        <f t="shared" si="3"/>
        <v>-6.5310499994666316E-2</v>
      </c>
      <c r="K35">
        <f t="shared" si="9"/>
        <v>-6.5310499994666316E-2</v>
      </c>
      <c r="O35">
        <f t="shared" ca="1" si="4"/>
        <v>-6.9321935167104859E-2</v>
      </c>
      <c r="P35" s="17">
        <f t="shared" si="5"/>
        <v>-6.5553045998936271E-2</v>
      </c>
      <c r="Q35" s="2">
        <f t="shared" si="6"/>
        <v>40780.768100000001</v>
      </c>
      <c r="R35" s="18">
        <f t="shared" si="7"/>
        <v>5.8828564187321346E-8</v>
      </c>
      <c r="S35" s="19">
        <v>1</v>
      </c>
      <c r="T35" s="18">
        <f t="shared" si="8"/>
        <v>5.8828564187321346E-8</v>
      </c>
    </row>
    <row r="36" spans="1:20" x14ac:dyDescent="0.2">
      <c r="A36" s="9" t="s">
        <v>44</v>
      </c>
      <c r="B36" s="15" t="s">
        <v>38</v>
      </c>
      <c r="C36" s="9">
        <v>55799.476900000001</v>
      </c>
      <c r="D36" s="9">
        <v>6.9999999999999999E-4</v>
      </c>
      <c r="E36">
        <f t="shared" si="1"/>
        <v>6980.8437195330889</v>
      </c>
      <c r="F36">
        <f t="shared" si="2"/>
        <v>6981</v>
      </c>
      <c r="G36">
        <f t="shared" si="3"/>
        <v>-6.5240999996603932E-2</v>
      </c>
      <c r="K36">
        <f t="shared" si="9"/>
        <v>-6.5240999996603932E-2</v>
      </c>
      <c r="O36">
        <f t="shared" ca="1" si="4"/>
        <v>-6.932732846551172E-2</v>
      </c>
      <c r="P36" s="17">
        <f t="shared" si="5"/>
        <v>-6.555853855269457E-2</v>
      </c>
      <c r="Q36" s="2">
        <f t="shared" si="6"/>
        <v>40780.976900000001</v>
      </c>
      <c r="R36" s="18">
        <f t="shared" si="7"/>
        <v>1.0083073460412723E-7</v>
      </c>
      <c r="S36" s="19">
        <v>1</v>
      </c>
      <c r="T36" s="18">
        <f t="shared" si="8"/>
        <v>1.0083073460412723E-7</v>
      </c>
    </row>
    <row r="37" spans="1:20" x14ac:dyDescent="0.2">
      <c r="A37" s="14" t="s">
        <v>37</v>
      </c>
      <c r="B37" s="10" t="s">
        <v>38</v>
      </c>
      <c r="C37" s="9">
        <v>56539.409</v>
      </c>
      <c r="D37" s="11">
        <v>4.7000000000000002E-3</v>
      </c>
      <c r="E37">
        <f t="shared" si="1"/>
        <v>8753.3017455522822</v>
      </c>
      <c r="F37">
        <f t="shared" si="2"/>
        <v>8753.5</v>
      </c>
      <c r="G37">
        <f t="shared" si="3"/>
        <v>-8.2763500002329238E-2</v>
      </c>
      <c r="K37">
        <f t="shared" si="9"/>
        <v>-8.2763500002329238E-2</v>
      </c>
      <c r="O37">
        <f t="shared" ca="1" si="4"/>
        <v>-8.8446571317815151E-2</v>
      </c>
      <c r="P37" s="17">
        <f t="shared" si="5"/>
        <v>-8.5891048992490893E-2</v>
      </c>
      <c r="Q37" s="2">
        <f t="shared" si="6"/>
        <v>41520.909</v>
      </c>
      <c r="R37" s="18">
        <f t="shared" si="7"/>
        <v>9.7815626858611874E-6</v>
      </c>
      <c r="S37" s="19">
        <v>1</v>
      </c>
      <c r="T37" s="18">
        <f t="shared" si="8"/>
        <v>9.7815626858611874E-6</v>
      </c>
    </row>
    <row r="38" spans="1:20" x14ac:dyDescent="0.2">
      <c r="A38" s="14" t="s">
        <v>37</v>
      </c>
      <c r="B38" s="10" t="s">
        <v>38</v>
      </c>
      <c r="C38" s="9">
        <v>56539.612699999998</v>
      </c>
      <c r="D38" s="11">
        <v>2.9999999999999997E-4</v>
      </c>
      <c r="E38">
        <f t="shared" si="1"/>
        <v>8753.789695324831</v>
      </c>
      <c r="F38">
        <f t="shared" si="2"/>
        <v>8754</v>
      </c>
      <c r="G38">
        <f t="shared" si="3"/>
        <v>-8.7793999999121297E-2</v>
      </c>
      <c r="K38">
        <f t="shared" si="9"/>
        <v>-8.7793999999121297E-2</v>
      </c>
      <c r="O38">
        <f t="shared" ca="1" si="4"/>
        <v>-8.8451964616222012E-2</v>
      </c>
      <c r="P38" s="17">
        <f t="shared" si="5"/>
        <v>-8.5897027530659115E-2</v>
      </c>
      <c r="Q38" s="2">
        <f t="shared" si="6"/>
        <v>41521.112699999998</v>
      </c>
      <c r="R38" s="18">
        <f t="shared" si="7"/>
        <v>3.5985045461035059E-6</v>
      </c>
      <c r="S38" s="19">
        <v>1</v>
      </c>
      <c r="T38" s="18">
        <f t="shared" si="8"/>
        <v>3.5985045461035059E-6</v>
      </c>
    </row>
    <row r="39" spans="1:20" x14ac:dyDescent="0.2">
      <c r="A39" s="8" t="s">
        <v>45</v>
      </c>
      <c r="B39" s="7" t="s">
        <v>38</v>
      </c>
      <c r="C39" s="8">
        <v>56876.493799999997</v>
      </c>
      <c r="D39" s="8">
        <v>1.1000000000000001E-3</v>
      </c>
      <c r="E39">
        <f t="shared" ref="E39:E44" si="10">+(C39-C$7)/C$8</f>
        <v>9560.7659158580027</v>
      </c>
      <c r="F39">
        <f t="shared" si="2"/>
        <v>9561</v>
      </c>
      <c r="G39">
        <f t="shared" ref="G39:G44" si="11">+C39-(C$7+F39*C$8)</f>
        <v>-9.7720999998273328E-2</v>
      </c>
      <c r="K39">
        <f t="shared" si="9"/>
        <v>-9.7720999998273328E-2</v>
      </c>
      <c r="O39">
        <f t="shared" ref="O39:O44" ca="1" si="12">+C$11+C$12*$F39</f>
        <v>-9.7156748244887098E-2</v>
      </c>
      <c r="P39" s="17">
        <f t="shared" si="5"/>
        <v>-9.5725007962555758E-2</v>
      </c>
      <c r="Q39" s="2">
        <f t="shared" ref="Q39:Q44" si="13">+C39-15018.5</f>
        <v>41857.993799999997</v>
      </c>
      <c r="R39" s="18">
        <f t="shared" si="7"/>
        <v>3.9839842066479683E-6</v>
      </c>
      <c r="S39" s="19">
        <v>1</v>
      </c>
      <c r="T39" s="18">
        <f t="shared" si="8"/>
        <v>3.9839842066479683E-6</v>
      </c>
    </row>
    <row r="40" spans="1:20" x14ac:dyDescent="0.2">
      <c r="A40" t="s">
        <v>71</v>
      </c>
      <c r="B40" s="3" t="s">
        <v>40</v>
      </c>
      <c r="C40" s="6">
        <v>58022.599099999999</v>
      </c>
      <c r="D40" s="6"/>
      <c r="E40">
        <f t="shared" si="10"/>
        <v>12306.184769355703</v>
      </c>
      <c r="F40" s="16">
        <f>ROUND(2*E40,0)/2+0.5</f>
        <v>12306.5</v>
      </c>
      <c r="G40">
        <f t="shared" si="11"/>
        <v>-0.1315965000030701</v>
      </c>
      <c r="K40">
        <f t="shared" si="9"/>
        <v>-0.1315965000030701</v>
      </c>
      <c r="O40">
        <f t="shared" ca="1" si="12"/>
        <v>-0.12677134979693172</v>
      </c>
      <c r="P40" s="17">
        <f t="shared" si="5"/>
        <v>-0.13183427670193198</v>
      </c>
      <c r="Q40" s="2">
        <f t="shared" si="13"/>
        <v>43004.099099999999</v>
      </c>
      <c r="R40" s="18">
        <f t="shared" si="7"/>
        <v>5.653775852165323E-8</v>
      </c>
      <c r="S40" s="19">
        <v>1</v>
      </c>
      <c r="T40" s="18">
        <f t="shared" si="8"/>
        <v>5.653775852165323E-8</v>
      </c>
    </row>
    <row r="41" spans="1:20" x14ac:dyDescent="0.2">
      <c r="A41" t="s">
        <v>71</v>
      </c>
      <c r="B41" s="3" t="s">
        <v>38</v>
      </c>
      <c r="C41" s="6">
        <v>58023.642</v>
      </c>
      <c r="D41" s="6"/>
      <c r="E41">
        <f t="shared" si="10"/>
        <v>12308.68296679211</v>
      </c>
      <c r="F41" s="16">
        <f>ROUND(2*E41,0)/2+0.5</f>
        <v>12309</v>
      </c>
      <c r="G41">
        <f t="shared" si="11"/>
        <v>-0.13234899999952177</v>
      </c>
      <c r="K41">
        <f t="shared" si="9"/>
        <v>-0.13234899999952177</v>
      </c>
      <c r="O41">
        <f t="shared" ca="1" si="12"/>
        <v>-0.12679831628896598</v>
      </c>
      <c r="P41" s="17">
        <f t="shared" si="5"/>
        <v>-0.13186904020098775</v>
      </c>
      <c r="Q41" s="2">
        <f t="shared" si="13"/>
        <v>43005.142</v>
      </c>
      <c r="R41" s="18">
        <f t="shared" si="7"/>
        <v>2.3036140820881583E-7</v>
      </c>
      <c r="S41" s="19">
        <v>1</v>
      </c>
      <c r="T41" s="18">
        <f t="shared" si="8"/>
        <v>2.3036140820881583E-7</v>
      </c>
    </row>
    <row r="42" spans="1:20" x14ac:dyDescent="0.2">
      <c r="A42" t="s">
        <v>71</v>
      </c>
      <c r="B42" s="3" t="s">
        <v>40</v>
      </c>
      <c r="C42" s="6">
        <v>58023.851000000002</v>
      </c>
      <c r="D42" s="6"/>
      <c r="E42">
        <f t="shared" si="10"/>
        <v>12309.183612361403</v>
      </c>
      <c r="F42" s="16">
        <f>ROUND(2*E42,0)/2+0.5</f>
        <v>12309.5</v>
      </c>
      <c r="G42">
        <f t="shared" si="11"/>
        <v>-0.13207949999923585</v>
      </c>
      <c r="K42">
        <f t="shared" si="9"/>
        <v>-0.13207949999923585</v>
      </c>
      <c r="O42">
        <f t="shared" ca="1" si="12"/>
        <v>-0.12680370958737286</v>
      </c>
      <c r="P42" s="17">
        <f t="shared" si="5"/>
        <v>-0.13187599331195321</v>
      </c>
      <c r="Q42" s="2">
        <f t="shared" si="13"/>
        <v>43005.351000000002</v>
      </c>
      <c r="R42" s="18">
        <f t="shared" si="7"/>
        <v>4.1414971768754091E-8</v>
      </c>
      <c r="S42" s="19">
        <v>1</v>
      </c>
      <c r="T42" s="18">
        <f t="shared" si="8"/>
        <v>4.1414971768754091E-8</v>
      </c>
    </row>
    <row r="43" spans="1:20" x14ac:dyDescent="0.2">
      <c r="A43" t="s">
        <v>71</v>
      </c>
      <c r="B43" s="3" t="s">
        <v>38</v>
      </c>
      <c r="C43" s="6">
        <v>58028.652199999997</v>
      </c>
      <c r="D43" s="6"/>
      <c r="E43">
        <f t="shared" si="10"/>
        <v>12320.684566941578</v>
      </c>
      <c r="F43" s="16">
        <f>ROUND(2*E43,0)/2+0.5</f>
        <v>12321</v>
      </c>
      <c r="G43">
        <f t="shared" si="11"/>
        <v>-0.13168099999893457</v>
      </c>
      <c r="K43">
        <f t="shared" si="9"/>
        <v>-0.13168099999893457</v>
      </c>
      <c r="O43">
        <f t="shared" ca="1" si="12"/>
        <v>-0.12692775545073054</v>
      </c>
      <c r="P43" s="17">
        <f t="shared" si="5"/>
        <v>-0.13203595269035678</v>
      </c>
      <c r="Q43" s="2">
        <f t="shared" si="13"/>
        <v>43010.152199999997</v>
      </c>
      <c r="R43" s="18">
        <f t="shared" si="7"/>
        <v>1.2599141314787543E-7</v>
      </c>
      <c r="S43" s="19">
        <v>1</v>
      </c>
      <c r="T43" s="18">
        <f t="shared" si="8"/>
        <v>1.2599141314787543E-7</v>
      </c>
    </row>
    <row r="44" spans="1:20" x14ac:dyDescent="0.2">
      <c r="A44" t="s">
        <v>71</v>
      </c>
      <c r="B44" s="3" t="s">
        <v>40</v>
      </c>
      <c r="C44" s="6">
        <v>58028.860800000002</v>
      </c>
      <c r="D44" s="6"/>
      <c r="E44">
        <f t="shared" si="10"/>
        <v>12321.184254337539</v>
      </c>
      <c r="F44" s="16">
        <f>ROUND(2*E44,0)/2+0.5</f>
        <v>12321.5</v>
      </c>
      <c r="G44">
        <f t="shared" si="11"/>
        <v>-0.13181149999581976</v>
      </c>
      <c r="K44">
        <f t="shared" si="9"/>
        <v>-0.13181149999581976</v>
      </c>
      <c r="O44">
        <f t="shared" ca="1" si="12"/>
        <v>-0.12693314874913741</v>
      </c>
      <c r="P44" s="17">
        <f t="shared" si="5"/>
        <v>-0.13204290909055685</v>
      </c>
      <c r="Q44" s="2">
        <f t="shared" si="13"/>
        <v>43010.360800000002</v>
      </c>
      <c r="R44" s="18">
        <f t="shared" si="7"/>
        <v>5.3550169127041824E-8</v>
      </c>
      <c r="S44" s="19">
        <v>1</v>
      </c>
      <c r="T44" s="18">
        <f t="shared" si="8"/>
        <v>5.3550169127041824E-8</v>
      </c>
    </row>
    <row r="45" spans="1:20" x14ac:dyDescent="0.2">
      <c r="C45" s="6"/>
      <c r="D45" s="6"/>
    </row>
    <row r="46" spans="1:20" x14ac:dyDescent="0.2">
      <c r="C46" s="6"/>
      <c r="D46" s="6"/>
    </row>
    <row r="47" spans="1:20" x14ac:dyDescent="0.2">
      <c r="C47" s="6"/>
      <c r="D47" s="6"/>
    </row>
    <row r="48" spans="1:20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N34"/>
  <sheetViews>
    <sheetView workbookViewId="0">
      <selection activeCell="A30" sqref="A30:C34"/>
    </sheetView>
  </sheetViews>
  <sheetFormatPr defaultRowHeight="12.75" x14ac:dyDescent="0.2"/>
  <cols>
    <col min="1" max="1" width="22.42578125" customWidth="1"/>
    <col min="3" max="3" width="9.140625" style="6"/>
  </cols>
  <sheetData>
    <row r="11" spans="1:14" x14ac:dyDescent="0.2">
      <c r="A11" t="s">
        <v>34</v>
      </c>
      <c r="B11" s="3" t="s">
        <v>38</v>
      </c>
      <c r="C11" s="6">
        <v>52885.246899999998</v>
      </c>
      <c r="D11" s="3">
        <f>VLOOKUP(C11,A!C$21:E$39,3,FALSE)</f>
        <v>0</v>
      </c>
      <c r="F11">
        <v>-9561</v>
      </c>
      <c r="G11" t="s">
        <v>46</v>
      </c>
      <c r="H11">
        <v>2.2000000000000001E-3</v>
      </c>
      <c r="N11">
        <v>1</v>
      </c>
    </row>
    <row r="12" spans="1:14" x14ac:dyDescent="0.2">
      <c r="A12" t="s">
        <v>65</v>
      </c>
      <c r="B12" s="3" t="s">
        <v>40</v>
      </c>
      <c r="C12" s="6">
        <v>53300.401400000002</v>
      </c>
      <c r="D12" s="3">
        <f>VLOOKUP(C12,A!C$21:E$39,3,FALSE)</f>
        <v>994.47493298776214</v>
      </c>
      <c r="F12">
        <v>-8566.5</v>
      </c>
      <c r="G12" t="s">
        <v>47</v>
      </c>
      <c r="H12" t="s">
        <v>48</v>
      </c>
      <c r="N12">
        <v>2</v>
      </c>
    </row>
    <row r="13" spans="1:14" x14ac:dyDescent="0.2">
      <c r="A13" t="s">
        <v>65</v>
      </c>
      <c r="B13" s="3" t="s">
        <v>40</v>
      </c>
      <c r="C13" s="6">
        <v>53301.236499999999</v>
      </c>
      <c r="D13" s="3">
        <f>VLOOKUP(C13,A!C$21:E$39,3,FALSE)</f>
        <v>996.47535937488954</v>
      </c>
      <c r="F13">
        <v>-8564.5</v>
      </c>
      <c r="G13" t="s">
        <v>49</v>
      </c>
      <c r="H13" t="s">
        <v>50</v>
      </c>
      <c r="N13">
        <v>3</v>
      </c>
    </row>
    <row r="14" spans="1:14" x14ac:dyDescent="0.2">
      <c r="A14" t="s">
        <v>65</v>
      </c>
      <c r="B14" s="3" t="s">
        <v>38</v>
      </c>
      <c r="C14" s="6">
        <v>53301.444300000003</v>
      </c>
      <c r="D14" s="3">
        <f>VLOOKUP(C14,A!C$21:E$39,3,FALSE)</f>
        <v>996.97313042417022</v>
      </c>
      <c r="F14">
        <v>-8564</v>
      </c>
      <c r="G14" t="s">
        <v>51</v>
      </c>
      <c r="H14" t="s">
        <v>52</v>
      </c>
      <c r="N14">
        <v>4</v>
      </c>
    </row>
    <row r="15" spans="1:14" x14ac:dyDescent="0.2">
      <c r="A15" t="s">
        <v>68</v>
      </c>
      <c r="B15" s="3" t="s">
        <v>38</v>
      </c>
      <c r="C15" s="6">
        <v>54452.364000000001</v>
      </c>
      <c r="D15" s="3">
        <f>VLOOKUP(C15,A!C$21:E$39,3,FALSE)</f>
        <v>3753.9245582222125</v>
      </c>
      <c r="F15">
        <v>-5807</v>
      </c>
      <c r="G15">
        <v>3.0000000000000001E-3</v>
      </c>
      <c r="H15">
        <v>1.5E-3</v>
      </c>
      <c r="N15">
        <v>5</v>
      </c>
    </row>
    <row r="16" spans="1:14" x14ac:dyDescent="0.2">
      <c r="A16" t="s">
        <v>69</v>
      </c>
      <c r="B16" s="3" t="s">
        <v>38</v>
      </c>
      <c r="C16" s="6">
        <v>54723.705000000002</v>
      </c>
      <c r="D16" s="3">
        <f>VLOOKUP(C16,A!C$21:E$39,3,FALSE)</f>
        <v>4403.9038377237712</v>
      </c>
      <c r="F16">
        <v>-5157</v>
      </c>
      <c r="G16">
        <v>1.4E-3</v>
      </c>
      <c r="H16" t="s">
        <v>53</v>
      </c>
      <c r="N16">
        <v>6</v>
      </c>
    </row>
    <row r="17" spans="1:14" x14ac:dyDescent="0.2">
      <c r="A17" t="s">
        <v>66</v>
      </c>
      <c r="B17" s="3" t="s">
        <v>38</v>
      </c>
      <c r="C17" s="6">
        <v>55445.477800000001</v>
      </c>
      <c r="D17" s="3">
        <f>VLOOKUP(C17,A!C$21:E$39,3,FALSE)</f>
        <v>6132.8624709853184</v>
      </c>
      <c r="F17">
        <v>-3428</v>
      </c>
      <c r="G17">
        <v>2.8E-3</v>
      </c>
      <c r="H17" t="s">
        <v>54</v>
      </c>
      <c r="N17">
        <v>7</v>
      </c>
    </row>
    <row r="18" spans="1:14" x14ac:dyDescent="0.2">
      <c r="A18" t="s">
        <v>66</v>
      </c>
      <c r="B18" s="3" t="s">
        <v>38</v>
      </c>
      <c r="C18" s="6">
        <v>55448.400099999999</v>
      </c>
      <c r="D18" s="3">
        <f>VLOOKUP(C18,A!C$21:E$39,3,FALSE)</f>
        <v>6139.8626458519493</v>
      </c>
      <c r="F18">
        <v>-3421</v>
      </c>
      <c r="G18">
        <v>2.8999999999999998E-3</v>
      </c>
      <c r="H18" t="s">
        <v>48</v>
      </c>
      <c r="N18">
        <v>8</v>
      </c>
    </row>
    <row r="19" spans="1:14" x14ac:dyDescent="0.2">
      <c r="A19" t="s">
        <v>66</v>
      </c>
      <c r="B19" s="3" t="s">
        <v>40</v>
      </c>
      <c r="C19" s="6">
        <v>55449.4447</v>
      </c>
      <c r="D19" s="3">
        <f>VLOOKUP(C19,A!C$21:E$39,3,FALSE)</f>
        <v>6142.3649155250469</v>
      </c>
      <c r="F19">
        <v>-3418.5</v>
      </c>
      <c r="G19">
        <v>3.8999999999999998E-3</v>
      </c>
      <c r="H19">
        <v>1E-4</v>
      </c>
      <c r="N19">
        <v>9</v>
      </c>
    </row>
    <row r="20" spans="1:14" x14ac:dyDescent="0.2">
      <c r="A20" t="s">
        <v>67</v>
      </c>
      <c r="B20" s="3" t="s">
        <v>38</v>
      </c>
      <c r="C20" s="6">
        <v>55764.410600000003</v>
      </c>
      <c r="D20" s="3">
        <f>VLOOKUP(C20,A!C$21:E$39,3,FALSE)</f>
        <v>6896.8447351968316</v>
      </c>
      <c r="F20">
        <v>-2664</v>
      </c>
      <c r="G20">
        <v>3.5999999999999999E-3</v>
      </c>
      <c r="H20" t="s">
        <v>55</v>
      </c>
      <c r="N20">
        <v>10</v>
      </c>
    </row>
    <row r="21" spans="1:14" x14ac:dyDescent="0.2">
      <c r="A21" t="s">
        <v>67</v>
      </c>
      <c r="B21" s="3" t="s">
        <v>40</v>
      </c>
      <c r="C21" s="6">
        <v>55778.3963</v>
      </c>
      <c r="D21" s="3">
        <f>VLOOKUP(C21,A!C$21:E$39,3,FALSE)</f>
        <v>6930.3465473421511</v>
      </c>
      <c r="F21">
        <v>-2630.5</v>
      </c>
      <c r="G21">
        <v>4.7000000000000002E-3</v>
      </c>
      <c r="H21">
        <v>8.9999999999999998E-4</v>
      </c>
      <c r="N21">
        <v>11</v>
      </c>
    </row>
    <row r="22" spans="1:14" x14ac:dyDescent="0.2">
      <c r="A22" t="s">
        <v>67</v>
      </c>
      <c r="B22" s="3" t="s">
        <v>38</v>
      </c>
      <c r="C22" s="6">
        <v>55781.525500000003</v>
      </c>
      <c r="D22" s="3">
        <f>VLOOKUP(C22,A!C$21:E$39,3,FALSE)</f>
        <v>6937.8423373680534</v>
      </c>
      <c r="F22">
        <v>-2623</v>
      </c>
      <c r="G22">
        <v>3.0000000000000001E-3</v>
      </c>
      <c r="H22" t="s">
        <v>50</v>
      </c>
      <c r="N22">
        <v>12</v>
      </c>
    </row>
    <row r="23" spans="1:14" x14ac:dyDescent="0.2">
      <c r="A23" t="s">
        <v>67</v>
      </c>
      <c r="B23" s="3" t="s">
        <v>40</v>
      </c>
      <c r="C23" s="6">
        <v>55783.405899999998</v>
      </c>
      <c r="D23" s="3">
        <f>VLOOKUP(C23,A!C$21:E$39,3,FALSE)</f>
        <v>6942.3467102316135</v>
      </c>
      <c r="F23">
        <v>-2618.5</v>
      </c>
      <c r="G23">
        <v>4.8999999999999998E-3</v>
      </c>
      <c r="H23">
        <v>1.1000000000000001E-3</v>
      </c>
      <c r="N23">
        <v>13</v>
      </c>
    </row>
    <row r="24" spans="1:14" x14ac:dyDescent="0.2">
      <c r="A24" t="s">
        <v>67</v>
      </c>
      <c r="B24" s="3" t="s">
        <v>40</v>
      </c>
      <c r="C24" s="6">
        <v>55790.502399999998</v>
      </c>
      <c r="D24" s="3">
        <f>VLOOKUP(C24,A!C$21:E$39,3,FALSE)</f>
        <v>6959.3459029705746</v>
      </c>
      <c r="F24">
        <v>-2601.5</v>
      </c>
      <c r="G24">
        <v>4.7999999999999996E-3</v>
      </c>
      <c r="H24">
        <v>1E-3</v>
      </c>
      <c r="N24">
        <v>14</v>
      </c>
    </row>
    <row r="25" spans="1:14" x14ac:dyDescent="0.2">
      <c r="A25" t="s">
        <v>67</v>
      </c>
      <c r="B25" s="3" t="s">
        <v>40</v>
      </c>
      <c r="C25" s="6">
        <v>55799.268100000001</v>
      </c>
      <c r="D25" s="3">
        <f>VLOOKUP(C25,A!C$21:E$39,3,FALSE)</f>
        <v>6980.3435530504712</v>
      </c>
      <c r="F25">
        <v>-2580.5</v>
      </c>
      <c r="G25">
        <v>4.0000000000000001E-3</v>
      </c>
      <c r="H25">
        <v>2.0000000000000001E-4</v>
      </c>
      <c r="N25">
        <v>15</v>
      </c>
    </row>
    <row r="26" spans="1:14" x14ac:dyDescent="0.2">
      <c r="A26" t="s">
        <v>67</v>
      </c>
      <c r="B26" s="3" t="s">
        <v>38</v>
      </c>
      <c r="C26" s="6">
        <v>55799.476900000001</v>
      </c>
      <c r="D26" s="3">
        <f>VLOOKUP(C26,A!C$21:E$39,3,FALSE)</f>
        <v>6980.8437195330889</v>
      </c>
      <c r="F26">
        <v>-2580</v>
      </c>
      <c r="G26">
        <v>4.1000000000000003E-3</v>
      </c>
      <c r="H26">
        <v>2.9999999999999997E-4</v>
      </c>
      <c r="N26">
        <v>16</v>
      </c>
    </row>
    <row r="27" spans="1:14" x14ac:dyDescent="0.2">
      <c r="A27" t="s">
        <v>70</v>
      </c>
      <c r="B27" s="3" t="s">
        <v>40</v>
      </c>
      <c r="C27" s="6">
        <v>56539.409</v>
      </c>
      <c r="D27" s="3">
        <f>VLOOKUP(C27,A!C$21:E$39,3,FALSE)</f>
        <v>8753.3017455522822</v>
      </c>
      <c r="F27">
        <v>-807.5</v>
      </c>
      <c r="G27">
        <v>5.7000000000000002E-3</v>
      </c>
      <c r="H27">
        <v>3.0999999999999999E-3</v>
      </c>
      <c r="N27">
        <v>17</v>
      </c>
    </row>
    <row r="28" spans="1:14" x14ac:dyDescent="0.2">
      <c r="A28" t="s">
        <v>70</v>
      </c>
      <c r="B28" s="3" t="s">
        <v>38</v>
      </c>
      <c r="C28" s="6">
        <v>56539.612699999998</v>
      </c>
      <c r="D28" s="3">
        <f>VLOOKUP(C28,A!C$21:E$39,3,FALSE)</f>
        <v>8753.789695324831</v>
      </c>
      <c r="F28">
        <v>-807</v>
      </c>
      <c r="G28">
        <v>6.9999999999999999E-4</v>
      </c>
      <c r="H28" t="s">
        <v>56</v>
      </c>
      <c r="N28">
        <v>18</v>
      </c>
    </row>
    <row r="29" spans="1:14" x14ac:dyDescent="0.2">
      <c r="A29" t="s">
        <v>70</v>
      </c>
      <c r="B29" s="3" t="s">
        <v>38</v>
      </c>
      <c r="C29" s="6">
        <v>56876.493799999997</v>
      </c>
      <c r="D29" s="3">
        <f>VLOOKUP(C29,A!C$21:E$39,3,FALSE)</f>
        <v>9560.7659158580027</v>
      </c>
      <c r="F29">
        <v>0</v>
      </c>
      <c r="G29" t="s">
        <v>57</v>
      </c>
      <c r="H29" t="s">
        <v>58</v>
      </c>
      <c r="N29">
        <v>19</v>
      </c>
    </row>
    <row r="30" spans="1:14" x14ac:dyDescent="0.2">
      <c r="A30" t="s">
        <v>71</v>
      </c>
      <c r="B30" s="3" t="s">
        <v>40</v>
      </c>
      <c r="C30" s="6">
        <v>58022.599099999999</v>
      </c>
      <c r="D30" s="3" t="e">
        <f>VLOOKUP(C30,A!C$21:E$39,3,FALSE)</f>
        <v>#N/A</v>
      </c>
      <c r="F30">
        <v>2745.5</v>
      </c>
      <c r="G30" t="s">
        <v>59</v>
      </c>
      <c r="H30">
        <v>2.9999999999999997E-4</v>
      </c>
      <c r="N30">
        <v>20</v>
      </c>
    </row>
    <row r="31" spans="1:14" x14ac:dyDescent="0.2">
      <c r="A31" t="s">
        <v>71</v>
      </c>
      <c r="B31" s="3" t="s">
        <v>38</v>
      </c>
      <c r="C31" s="6">
        <v>58023.642</v>
      </c>
      <c r="D31" s="3" t="e">
        <f>VLOOKUP(C31,A!C$21:E$39,3,FALSE)</f>
        <v>#N/A</v>
      </c>
      <c r="F31">
        <v>2748</v>
      </c>
      <c r="G31" t="s">
        <v>60</v>
      </c>
      <c r="H31" t="s">
        <v>61</v>
      </c>
      <c r="N31">
        <v>21</v>
      </c>
    </row>
    <row r="32" spans="1:14" x14ac:dyDescent="0.2">
      <c r="A32" t="s">
        <v>71</v>
      </c>
      <c r="B32" s="3" t="s">
        <v>40</v>
      </c>
      <c r="C32" s="6">
        <v>58023.851000000002</v>
      </c>
      <c r="D32" s="3" t="e">
        <f>VLOOKUP(C32,A!C$21:E$39,3,FALSE)</f>
        <v>#N/A</v>
      </c>
      <c r="F32">
        <v>2748.5</v>
      </c>
      <c r="G32" t="s">
        <v>62</v>
      </c>
      <c r="H32" t="s">
        <v>55</v>
      </c>
      <c r="N32">
        <v>22</v>
      </c>
    </row>
    <row r="33" spans="1:14" x14ac:dyDescent="0.2">
      <c r="A33" t="s">
        <v>71</v>
      </c>
      <c r="B33" s="3" t="s">
        <v>38</v>
      </c>
      <c r="C33" s="6">
        <v>58028.652199999997</v>
      </c>
      <c r="D33" s="3" t="e">
        <f>VLOOKUP(C33,A!C$21:E$39,3,FALSE)</f>
        <v>#N/A</v>
      </c>
      <c r="F33">
        <v>2760</v>
      </c>
      <c r="G33" t="s">
        <v>63</v>
      </c>
      <c r="H33">
        <v>4.0000000000000002E-4</v>
      </c>
      <c r="N33">
        <v>23</v>
      </c>
    </row>
    <row r="34" spans="1:14" x14ac:dyDescent="0.2">
      <c r="A34" t="s">
        <v>71</v>
      </c>
      <c r="B34" s="3" t="s">
        <v>40</v>
      </c>
      <c r="C34" s="6">
        <v>58028.860800000002</v>
      </c>
      <c r="D34" s="3" t="e">
        <f>VLOOKUP(C34,A!C$21:E$39,3,FALSE)</f>
        <v>#N/A</v>
      </c>
      <c r="F34">
        <v>2760.5</v>
      </c>
      <c r="G34" t="s">
        <v>64</v>
      </c>
      <c r="H34">
        <v>2.0000000000000001E-4</v>
      </c>
      <c r="N34">
        <v>24</v>
      </c>
    </row>
  </sheetData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2024-03-02T06:31:46Z</dcterms:modified>
</cp:coreProperties>
</file>