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E6A02C0-2A80-4339-AE9C-CA0F7EC9DE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 s="1"/>
  <c r="G26" i="1" s="1"/>
  <c r="I26" i="1" s="1"/>
  <c r="Q26" i="1"/>
  <c r="E27" i="1"/>
  <c r="F27" i="1" s="1"/>
  <c r="G27" i="1" s="1"/>
  <c r="I27" i="1" s="1"/>
  <c r="Q27" i="1"/>
  <c r="E28" i="1"/>
  <c r="F28" i="1"/>
  <c r="G28" i="1" s="1"/>
  <c r="I28" i="1" s="1"/>
  <c r="Q28" i="1"/>
  <c r="E25" i="1"/>
  <c r="F25" i="1" s="1"/>
  <c r="G25" i="1" s="1"/>
  <c r="I25" i="1" s="1"/>
  <c r="Q25" i="1"/>
  <c r="E23" i="1"/>
  <c r="F23" i="1"/>
  <c r="G23" i="1"/>
  <c r="I23" i="1"/>
  <c r="E24" i="1"/>
  <c r="F24" i="1"/>
  <c r="G24" i="1"/>
  <c r="I24" i="1"/>
  <c r="G11" i="1"/>
  <c r="F11" i="1"/>
  <c r="Q23" i="1"/>
  <c r="Q24" i="1"/>
  <c r="E22" i="1"/>
  <c r="F22" i="1"/>
  <c r="G22" i="1"/>
  <c r="I22" i="1"/>
  <c r="Q22" i="1"/>
  <c r="C21" i="1"/>
  <c r="E21" i="1"/>
  <c r="F21" i="1"/>
  <c r="A21" i="1"/>
  <c r="H20" i="1"/>
  <c r="E14" i="1"/>
  <c r="Q21" i="1"/>
  <c r="G21" i="1"/>
  <c r="H21" i="1"/>
  <c r="C17" i="1"/>
  <c r="C11" i="1"/>
  <c r="E15" i="1" l="1"/>
  <c r="C12" i="1"/>
  <c r="O28" i="1" l="1"/>
  <c r="S28" i="1" s="1"/>
  <c r="O27" i="1"/>
  <c r="S27" i="1" s="1"/>
  <c r="O26" i="1"/>
  <c r="S26" i="1" s="1"/>
  <c r="O25" i="1"/>
  <c r="S25" i="1" s="1"/>
  <c r="C16" i="1"/>
  <c r="D18" i="1" s="1"/>
  <c r="O24" i="1"/>
  <c r="S24" i="1" s="1"/>
  <c r="O22" i="1"/>
  <c r="S22" i="1" s="1"/>
  <c r="O21" i="1"/>
  <c r="S21" i="1" s="1"/>
  <c r="C15" i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<sst xmlns="http://schemas.openxmlformats.org/spreadsheetml/2006/main" count="67" uniqueCount="57">
  <si>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</si>
  <si>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</si>
  <si>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</si>
  <si>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</si>
  <si>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</si>
  <si>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</si>
  <si>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</si>
  <si>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</si>
  <si>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</si>
  <si>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</si>
  <si>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</si>
  <si>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</si>
  <si>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</si>
  <si>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</si>
  <si>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</si>
  <si>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</si>
  <si>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</si>
  <si>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</si>
  <si>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</si>
  <si>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</si>
  <si>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</si>
  <si>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</si>
  <si>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</si>
  <si>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</si>
  <si>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</si>
  <si>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</si>
  <si>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</si>
  <si>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</si>
  <si>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</si>
  <si>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</si>
  <si>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</si>
  <si>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</si>
  <si>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</si>
  <si>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</si>
  <si>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</si>
  <si>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</si>
  <si>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</si>
  <si>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</si>
  <si>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</si>
  <si>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</si>
  <si>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</si>
  <si>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</si>
  <si>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G2244-1064</t>
  </si>
  <si>
    <t>G2244-1064_Peg.xls</t>
  </si>
  <si>
    <t>EB / EW</t>
  </si>
  <si>
    <t>Peg</t>
  </si>
  <si>
    <t>VSX</t>
  </si>
  <si>
    <t>IBVS 5920</t>
  </si>
  <si>
    <t>I</t>
  </si>
  <si>
    <t>IBVS 5960</t>
  </si>
  <si>
    <t>II</t>
  </si>
  <si>
    <t>IBVS 6011</t>
  </si>
  <si>
    <t>VSB, 91</t>
  </si>
  <si>
    <t xml:space="preserve">V </t>
  </si>
  <si>
    <t>V0673 Peg / GSC 2244-1064</t>
  </si>
  <si>
    <t>VSB, 108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</si>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</sst>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2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7" fillId="0" borderId="0" xfId="0" applyFont="1" applyAlignment="1"/>
    <xf numFmtId="165" fontId="16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V0673 Peg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  <c:pt idx="5">
                  <c:v>14647</c:v>
                </c:pt>
                <c:pt idx="6">
                  <c:v>14647</c:v>
                </c:pt>
                <c:pt idx="7">
                  <c:v>14647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11-47F2-B266-BA55F6F822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  <c:pt idx="5">
                  <c:v>14647</c:v>
                </c:pt>
                <c:pt idx="6">
                  <c:v>14647</c:v>
                </c:pt>
                <c:pt idx="7">
                  <c:v>14647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7.0320001686923206E-3</c:v>
                </c:pt>
                <c:pt idx="2">
                  <c:v>1.3750001671724021E-3</c:v>
                </c:pt>
                <c:pt idx="3">
                  <c:v>-5.3989998268662021E-3</c:v>
                </c:pt>
                <c:pt idx="4">
                  <c:v>-3.1208999847876839E-2</c:v>
                </c:pt>
                <c:pt idx="5">
                  <c:v>-3.2117999668116681E-2</c:v>
                </c:pt>
                <c:pt idx="6">
                  <c:v>-3.1618000051821582E-2</c:v>
                </c:pt>
                <c:pt idx="7">
                  <c:v>-3.1117999969865195E-2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11-47F2-B266-BA55F6F822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  <c:pt idx="5">
                  <c:v>14647</c:v>
                </c:pt>
                <c:pt idx="6">
                  <c:v>14647</c:v>
                </c:pt>
                <c:pt idx="7">
                  <c:v>14647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11-47F2-B266-BA55F6F822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  <c:pt idx="5">
                  <c:v>14647</c:v>
                </c:pt>
                <c:pt idx="6">
                  <c:v>14647</c:v>
                </c:pt>
                <c:pt idx="7">
                  <c:v>14647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611-47F2-B266-BA55F6F822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  <c:pt idx="5">
                  <c:v>14647</c:v>
                </c:pt>
                <c:pt idx="6">
                  <c:v>14647</c:v>
                </c:pt>
                <c:pt idx="7">
                  <c:v>14647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11-47F2-B266-BA55F6F822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  <c:pt idx="5">
                  <c:v>14647</c:v>
                </c:pt>
                <c:pt idx="6">
                  <c:v>14647</c:v>
                </c:pt>
                <c:pt idx="7">
                  <c:v>14647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611-47F2-B266-BA55F6F822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  <c:pt idx="5">
                  <c:v>14647</c:v>
                </c:pt>
                <c:pt idx="6">
                  <c:v>14647</c:v>
                </c:pt>
                <c:pt idx="7">
                  <c:v>14647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611-47F2-B266-BA55F6F822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  <c:pt idx="5">
                  <c:v>14647</c:v>
                </c:pt>
                <c:pt idx="6">
                  <c:v>14647</c:v>
                </c:pt>
                <c:pt idx="7">
                  <c:v>14647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1.5826451922450462E-2</c:v>
                </c:pt>
                <c:pt idx="1">
                  <c:v>3.9570749330142523E-3</c:v>
                </c:pt>
                <c:pt idx="2">
                  <c:v>1.2027371749741816E-3</c:v>
                </c:pt>
                <c:pt idx="3">
                  <c:v>-1.6515497819001822E-3</c:v>
                </c:pt>
                <c:pt idx="4">
                  <c:v>-3.0046953319576811E-2</c:v>
                </c:pt>
                <c:pt idx="5">
                  <c:v>-3.2172102678397735E-2</c:v>
                </c:pt>
                <c:pt idx="6">
                  <c:v>-3.2172102678397735E-2</c:v>
                </c:pt>
                <c:pt idx="7">
                  <c:v>-3.2172102678397735E-2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611-47F2-B266-BA55F6F8229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3622</c:v>
                </c:pt>
                <c:pt idx="2">
                  <c:v>4462.5</c:v>
                </c:pt>
                <c:pt idx="3">
                  <c:v>5333.5</c:v>
                </c:pt>
                <c:pt idx="4">
                  <c:v>13998.5</c:v>
                </c:pt>
                <c:pt idx="5">
                  <c:v>14647</c:v>
                </c:pt>
                <c:pt idx="6">
                  <c:v>14647</c:v>
                </c:pt>
                <c:pt idx="7">
                  <c:v>14647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611-47F2-B266-BA55F6F82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338504"/>
        <c:axId val="1"/>
      </c:scatterChart>
      <c:valAx>
        <c:axId val="81133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338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7D8B358-0150-4708-A8B5-647159588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9" t="s">
        <v>54</v>
      </c>
      <c r="E1" t="s">
        <v>43</v>
      </c>
    </row>
    <row r="2" spans="1:7" s="11" customFormat="1" ht="12.95" customHeight="1" x14ac:dyDescent="0.2">
      <c r="A2" s="11" t="s">
        <v>24</v>
      </c>
      <c r="B2" s="11" t="s">
        <v>44</v>
      </c>
      <c r="C2" s="12" t="s">
        <v>41</v>
      </c>
      <c r="D2" s="13" t="s">
        <v>45</v>
      </c>
      <c r="E2" s="3" t="s">
        <v>42</v>
      </c>
      <c r="F2" s="11" t="e">
        <v>#N/A</v>
      </c>
    </row>
    <row r="3" spans="1:7" s="11" customFormat="1" ht="12.95" customHeight="1" thickBot="1" x14ac:dyDescent="0.25"/>
    <row r="4" spans="1:7" s="11" customFormat="1" ht="12.95" customHeight="1" thickTop="1" thickBot="1" x14ac:dyDescent="0.25">
      <c r="A4" s="14" t="s">
        <v>0</v>
      </c>
      <c r="C4" s="15" t="s">
        <v>40</v>
      </c>
      <c r="D4" s="16" t="s">
        <v>40</v>
      </c>
    </row>
    <row r="5" spans="1:7" s="11" customFormat="1" ht="12.95" customHeight="1" x14ac:dyDescent="0.2"/>
    <row r="6" spans="1:7" s="11" customFormat="1" ht="12.95" customHeight="1" x14ac:dyDescent="0.2">
      <c r="A6" s="14" t="s">
        <v>1</v>
      </c>
    </row>
    <row r="7" spans="1:7" s="11" customFormat="1" ht="12.95" customHeight="1" x14ac:dyDescent="0.2">
      <c r="A7" s="11" t="s">
        <v>2</v>
      </c>
      <c r="C7" s="41">
        <v>53596.694999999832</v>
      </c>
      <c r="D7" s="18" t="s">
        <v>46</v>
      </c>
    </row>
    <row r="8" spans="1:7" s="11" customFormat="1" ht="12.95" customHeight="1" x14ac:dyDescent="0.2">
      <c r="A8" s="11" t="s">
        <v>3</v>
      </c>
      <c r="C8" s="41">
        <v>0.42599399999999998</v>
      </c>
      <c r="D8" s="18" t="s">
        <v>46</v>
      </c>
    </row>
    <row r="9" spans="1:7" s="11" customFormat="1" ht="12.95" customHeight="1" x14ac:dyDescent="0.2">
      <c r="A9" s="19" t="s">
        <v>30</v>
      </c>
      <c r="C9" s="20">
        <v>-9.5</v>
      </c>
      <c r="D9" s="11" t="s">
        <v>31</v>
      </c>
    </row>
    <row r="10" spans="1:7" s="11" customFormat="1" ht="12.95" customHeight="1" thickBot="1" x14ac:dyDescent="0.25">
      <c r="C10" s="21" t="s">
        <v>20</v>
      </c>
      <c r="D10" s="21" t="s">
        <v>21</v>
      </c>
    </row>
    <row r="11" spans="1:7" s="11" customFormat="1" ht="12.95" customHeight="1" x14ac:dyDescent="0.2">
      <c r="A11" s="11" t="s">
        <v>15</v>
      </c>
      <c r="C11" s="22">
        <f ca="1">INTERCEPT(INDIRECT($G$11):G992,INDIRECT($F$11):F992)</f>
        <v>1.5826451922450462E-2</v>
      </c>
      <c r="D11" s="13"/>
      <c r="F11" s="23" t="str">
        <f>"F"&amp;E19</f>
        <v>F22</v>
      </c>
      <c r="G11" s="22" t="str">
        <f>"G"&amp;E19</f>
        <v>G22</v>
      </c>
    </row>
    <row r="12" spans="1:7" s="11" customFormat="1" ht="12.95" customHeight="1" x14ac:dyDescent="0.2">
      <c r="A12" s="11" t="s">
        <v>16</v>
      </c>
      <c r="C12" s="22">
        <f ca="1">SLOPE(INDIRECT($G$11):G992,INDIRECT($F$11):F992)</f>
        <v>-3.2770229125997267E-6</v>
      </c>
      <c r="D12" s="13"/>
    </row>
    <row r="13" spans="1:7" s="11" customFormat="1" ht="12.95" customHeight="1" x14ac:dyDescent="0.2">
      <c r="A13" s="11" t="s">
        <v>19</v>
      </c>
      <c r="C13" s="13" t="s">
        <v>13</v>
      </c>
      <c r="D13" s="24" t="s">
        <v>37</v>
      </c>
      <c r="E13" s="20">
        <v>1</v>
      </c>
    </row>
    <row r="14" spans="1:7" s="11" customFormat="1" ht="12.95" customHeight="1" x14ac:dyDescent="0.2">
      <c r="D14" s="24" t="s">
        <v>32</v>
      </c>
      <c r="E14" s="25">
        <f ca="1">NOW()+15018.5+$C$9/24</f>
        <v>60371.835738888883</v>
      </c>
    </row>
    <row r="15" spans="1:7" s="11" customFormat="1" ht="12.95" customHeight="1" x14ac:dyDescent="0.2">
      <c r="A15" s="26" t="s">
        <v>17</v>
      </c>
      <c r="C15" s="27">
        <f ca="1">(C7+C11)+(C8+C12)*INT(MAX(F21:F3533))</f>
        <v>59836.196945897151</v>
      </c>
      <c r="D15" s="24" t="s">
        <v>38</v>
      </c>
      <c r="E15" s="25">
        <f ca="1">ROUND(2*(E14-$C$7)/$C$8,0)/2+E13</f>
        <v>15905.5</v>
      </c>
    </row>
    <row r="16" spans="1:7" s="11" customFormat="1" ht="12.95" customHeight="1" x14ac:dyDescent="0.2">
      <c r="A16" s="14" t="s">
        <v>4</v>
      </c>
      <c r="C16" s="28">
        <f ca="1">+C8+C12</f>
        <v>0.4259907229770874</v>
      </c>
      <c r="D16" s="24" t="s">
        <v>39</v>
      </c>
      <c r="E16" s="22">
        <f ca="1">ROUND(2*(E14-$C$15)/$C$16,0)/2+E13</f>
        <v>1258.5</v>
      </c>
    </row>
    <row r="17" spans="1:19" s="11" customFormat="1" ht="12.95" customHeight="1" thickBot="1" x14ac:dyDescent="0.25">
      <c r="A17" s="24" t="s">
        <v>29</v>
      </c>
      <c r="C17" s="11">
        <f>COUNT(C21:C2191)</f>
        <v>8</v>
      </c>
      <c r="D17" s="24" t="s">
        <v>33</v>
      </c>
      <c r="E17" s="29">
        <f ca="1">+$C$15+$C$16*E16-15018.5-$C$9/24</f>
        <v>45354.202104097152</v>
      </c>
    </row>
    <row r="18" spans="1:19" s="11" customFormat="1" ht="12.95" customHeight="1" thickTop="1" thickBot="1" x14ac:dyDescent="0.25">
      <c r="A18" s="14" t="s">
        <v>5</v>
      </c>
      <c r="C18" s="30">
        <f ca="1">+C15</f>
        <v>59836.196945897151</v>
      </c>
      <c r="D18" s="31">
        <f ca="1">+C16</f>
        <v>0.4259907229770874</v>
      </c>
      <c r="E18" s="32" t="s">
        <v>34</v>
      </c>
    </row>
    <row r="19" spans="1:19" s="11" customFormat="1" ht="12.95" customHeight="1" thickTop="1" x14ac:dyDescent="0.2">
      <c r="A19" s="33" t="s">
        <v>35</v>
      </c>
      <c r="E19" s="34">
        <v>22</v>
      </c>
      <c r="S19" s="11">
        <f ca="1">SQRT(SUM(S21:S50)/(COUNT(S21:S50)-1))</f>
        <v>6.2880412978834283E-3</v>
      </c>
    </row>
    <row r="20" spans="1:19" s="11" customFormat="1" ht="12.95" customHeight="1" thickBot="1" x14ac:dyDescent="0.25">
      <c r="A20" s="21" t="s">
        <v>6</v>
      </c>
      <c r="B20" s="21" t="s">
        <v>7</v>
      </c>
      <c r="C20" s="21" t="s">
        <v>8</v>
      </c>
      <c r="D20" s="21" t="s">
        <v>12</v>
      </c>
      <c r="E20" s="21" t="s">
        <v>9</v>
      </c>
      <c r="F20" s="21" t="s">
        <v>10</v>
      </c>
      <c r="G20" s="21" t="s">
        <v>11</v>
      </c>
      <c r="H20" s="35" t="str">
        <f>A21</f>
        <v>VSX</v>
      </c>
      <c r="I20" s="35" t="s">
        <v>56</v>
      </c>
      <c r="J20" s="35" t="s">
        <v>18</v>
      </c>
      <c r="K20" s="35" t="s">
        <v>25</v>
      </c>
      <c r="L20" s="35" t="s">
        <v>26</v>
      </c>
      <c r="M20" s="35" t="s">
        <v>27</v>
      </c>
      <c r="N20" s="35" t="s">
        <v>28</v>
      </c>
      <c r="O20" s="35" t="s">
        <v>23</v>
      </c>
      <c r="P20" s="36" t="s">
        <v>22</v>
      </c>
      <c r="Q20" s="21" t="s">
        <v>14</v>
      </c>
      <c r="R20" s="37" t="s">
        <v>36</v>
      </c>
    </row>
    <row r="21" spans="1:19" s="11" customFormat="1" ht="12.95" customHeight="1" x14ac:dyDescent="0.2">
      <c r="A21" s="11" t="str">
        <f>D7</f>
        <v>VSX</v>
      </c>
      <c r="C21" s="17">
        <f>C$7</f>
        <v>53596.694999999832</v>
      </c>
      <c r="D21" s="17" t="s">
        <v>13</v>
      </c>
      <c r="E21" s="11">
        <f>+(C21-C$7)/C$8</f>
        <v>0</v>
      </c>
      <c r="F21" s="11">
        <f>ROUND(2*E21,0)/2</f>
        <v>0</v>
      </c>
      <c r="G21" s="11">
        <f>+C21-(C$7+F21*C$8)</f>
        <v>0</v>
      </c>
      <c r="H21" s="11">
        <f>+G21</f>
        <v>0</v>
      </c>
      <c r="O21" s="11">
        <f ca="1">+C$11+C$12*$F21</f>
        <v>1.5826451922450462E-2</v>
      </c>
      <c r="Q21" s="38">
        <f>+C21-15018.5</f>
        <v>38578.194999999832</v>
      </c>
      <c r="S21" s="11">
        <f ca="1">+(O21-G21)^2</f>
        <v>2.5047658045363591E-4</v>
      </c>
    </row>
    <row r="22" spans="1:19" s="11" customFormat="1" ht="12.95" customHeight="1" x14ac:dyDescent="0.2">
      <c r="A22" s="4" t="s">
        <v>47</v>
      </c>
      <c r="B22" s="5" t="s">
        <v>48</v>
      </c>
      <c r="C22" s="4">
        <v>55139.652300000002</v>
      </c>
      <c r="D22" s="4">
        <v>2.9999999999999997E-4</v>
      </c>
      <c r="E22" s="11">
        <f>+(C22-C$7)/C$8</f>
        <v>3622.0165072751479</v>
      </c>
      <c r="F22" s="11">
        <f>ROUND(2*E22,0)/2</f>
        <v>3622</v>
      </c>
      <c r="G22" s="11">
        <f>+C22-(C$7+F22*C$8)</f>
        <v>7.0320001686923206E-3</v>
      </c>
      <c r="I22" s="11">
        <f>+G22</f>
        <v>7.0320001686923206E-3</v>
      </c>
      <c r="O22" s="11">
        <f ca="1">+C$11+C$12*$F22</f>
        <v>3.9570749330142523E-3</v>
      </c>
      <c r="Q22" s="38">
        <f>+C22-15018.5</f>
        <v>40121.152300000002</v>
      </c>
      <c r="S22" s="11">
        <f ca="1">+(O22-G22)^2</f>
        <v>9.4551652050098235E-6</v>
      </c>
    </row>
    <row r="23" spans="1:19" s="11" customFormat="1" ht="12.95" customHeight="1" x14ac:dyDescent="0.2">
      <c r="A23" s="4" t="s">
        <v>49</v>
      </c>
      <c r="B23" s="5" t="s">
        <v>50</v>
      </c>
      <c r="C23" s="4">
        <v>55497.694600000003</v>
      </c>
      <c r="D23" s="4">
        <v>2.9999999999999997E-4</v>
      </c>
      <c r="E23" s="11">
        <f>+(C23-C$7)/C$8</f>
        <v>4462.5032277453911</v>
      </c>
      <c r="F23" s="11">
        <f>ROUND(2*E23,0)/2</f>
        <v>4462.5</v>
      </c>
      <c r="G23" s="11">
        <f>+C23-(C$7+F23*C$8)</f>
        <v>1.3750001671724021E-3</v>
      </c>
      <c r="I23" s="11">
        <f>+G23</f>
        <v>1.3750001671724021E-3</v>
      </c>
      <c r="O23" s="11">
        <f ca="1">+C$11+C$12*$F23</f>
        <v>1.2027371749741816E-3</v>
      </c>
      <c r="Q23" s="38">
        <f>+C23-15018.5</f>
        <v>40479.194600000003</v>
      </c>
      <c r="S23" s="11">
        <f ca="1">+(O23-G23)^2</f>
        <v>2.9674538481084202E-8</v>
      </c>
    </row>
    <row r="24" spans="1:19" s="11" customFormat="1" ht="12.95" customHeight="1" x14ac:dyDescent="0.2">
      <c r="A24" s="4" t="s">
        <v>51</v>
      </c>
      <c r="B24" s="5" t="s">
        <v>50</v>
      </c>
      <c r="C24" s="4">
        <v>55868.728600000002</v>
      </c>
      <c r="D24" s="4">
        <v>6.9999999999999999E-4</v>
      </c>
      <c r="E24" s="11">
        <f>+(C24-C$7)/C$8</f>
        <v>5333.4873261129733</v>
      </c>
      <c r="F24" s="11">
        <f>ROUND(2*E24,0)/2</f>
        <v>5333.5</v>
      </c>
      <c r="G24" s="11">
        <f>+C24-(C$7+F24*C$8)</f>
        <v>-5.3989998268662021E-3</v>
      </c>
      <c r="I24" s="11">
        <f>+G24</f>
        <v>-5.3989998268662021E-3</v>
      </c>
      <c r="O24" s="11">
        <f ca="1">+C$11+C$12*$F24</f>
        <v>-1.6515497819001822E-3</v>
      </c>
      <c r="Q24" s="38">
        <f>+C24-15018.5</f>
        <v>40850.228600000002</v>
      </c>
      <c r="S24" s="11">
        <f ca="1">+(O24-G24)^2</f>
        <v>1.4043381839515824E-5</v>
      </c>
    </row>
    <row r="25" spans="1:19" s="11" customFormat="1" ht="12.95" customHeight="1" x14ac:dyDescent="0.2">
      <c r="A25" s="6" t="s">
        <v>52</v>
      </c>
      <c r="B25" s="7" t="s">
        <v>48</v>
      </c>
      <c r="C25" s="8">
        <v>59559.940799999982</v>
      </c>
      <c r="D25" s="6" t="s">
        <v>53</v>
      </c>
      <c r="E25" s="11">
        <f>+(C25-C$7)/C$8</f>
        <v>13998.426738405118</v>
      </c>
      <c r="F25" s="11">
        <f>ROUND(2*E25,0)/2</f>
        <v>13998.5</v>
      </c>
      <c r="G25" s="11">
        <f>+C25-(C$7+F25*C$8)</f>
        <v>-3.1208999847876839E-2</v>
      </c>
      <c r="I25" s="11">
        <f>+G25</f>
        <v>-3.1208999847876839E-2</v>
      </c>
      <c r="O25" s="11">
        <f ca="1">+C$11+C$12*$F25</f>
        <v>-3.0046953319576811E-2</v>
      </c>
      <c r="Q25" s="38">
        <f>+C25-15018.5</f>
        <v>44541.440799999982</v>
      </c>
      <c r="S25" s="11">
        <f ca="1">+(O25-G25)^2</f>
        <v>1.3503521339341494E-6</v>
      </c>
    </row>
    <row r="26" spans="1:19" s="11" customFormat="1" ht="12.95" customHeight="1" x14ac:dyDescent="0.2">
      <c r="A26" s="39" t="s">
        <v>55</v>
      </c>
      <c r="B26" s="40" t="s">
        <v>48</v>
      </c>
      <c r="C26" s="10">
        <v>59836.19700000016</v>
      </c>
      <c r="D26" s="17"/>
      <c r="E26" s="11">
        <f t="shared" ref="E26:E28" si="0">+(C26-C$7)/C$8</f>
        <v>14646.924604572665</v>
      </c>
      <c r="F26" s="11">
        <f t="shared" ref="F26:F28" si="1">ROUND(2*E26,0)/2</f>
        <v>14647</v>
      </c>
      <c r="G26" s="11">
        <f t="shared" ref="G26:G28" si="2">+C26-(C$7+F26*C$8)</f>
        <v>-3.2117999668116681E-2</v>
      </c>
      <c r="I26" s="11">
        <f t="shared" ref="I26:I28" si="3">+G26</f>
        <v>-3.2117999668116681E-2</v>
      </c>
      <c r="O26" s="11">
        <f t="shared" ref="O26:O28" ca="1" si="4">+C$11+C$12*$F26</f>
        <v>-3.2172102678397735E-2</v>
      </c>
      <c r="Q26" s="38">
        <f t="shared" ref="Q26:Q28" si="5">+C26-15018.5</f>
        <v>44817.69700000016</v>
      </c>
      <c r="S26" s="11">
        <f t="shared" ref="S26:S28" ca="1" si="6">+(O26-G26)^2</f>
        <v>2.9271357214717891E-9</v>
      </c>
    </row>
    <row r="27" spans="1:19" s="11" customFormat="1" ht="12.95" customHeight="1" x14ac:dyDescent="0.2">
      <c r="A27" s="39" t="s">
        <v>55</v>
      </c>
      <c r="B27" s="40" t="s">
        <v>48</v>
      </c>
      <c r="C27" s="10">
        <v>59836.197499999776</v>
      </c>
      <c r="D27" s="17"/>
      <c r="E27" s="11">
        <f t="shared" si="0"/>
        <v>14646.925778297216</v>
      </c>
      <c r="F27" s="11">
        <f t="shared" si="1"/>
        <v>14647</v>
      </c>
      <c r="G27" s="11">
        <f t="shared" si="2"/>
        <v>-3.1618000051821582E-2</v>
      </c>
      <c r="I27" s="11">
        <f t="shared" si="3"/>
        <v>-3.1618000051821582E-2</v>
      </c>
      <c r="O27" s="11">
        <f t="shared" ca="1" si="4"/>
        <v>-3.2172102678397735E-2</v>
      </c>
      <c r="Q27" s="38">
        <f t="shared" si="5"/>
        <v>44817.697499999776</v>
      </c>
      <c r="S27" s="11">
        <f t="shared" ca="1" si="6"/>
        <v>3.0702972077859147E-7</v>
      </c>
    </row>
    <row r="28" spans="1:19" s="11" customFormat="1" ht="12.95" customHeight="1" x14ac:dyDescent="0.2">
      <c r="A28" s="39" t="s">
        <v>55</v>
      </c>
      <c r="B28" s="40" t="s">
        <v>48</v>
      </c>
      <c r="C28" s="10">
        <v>59836.197999999858</v>
      </c>
      <c r="D28" s="17"/>
      <c r="E28" s="11">
        <f t="shared" si="0"/>
        <v>14646.926952022861</v>
      </c>
      <c r="F28" s="11">
        <f t="shared" si="1"/>
        <v>14647</v>
      </c>
      <c r="G28" s="11">
        <f t="shared" si="2"/>
        <v>-3.1117999969865195E-2</v>
      </c>
      <c r="I28" s="11">
        <f t="shared" si="3"/>
        <v>-3.1117999969865195E-2</v>
      </c>
      <c r="O28" s="11">
        <f t="shared" ca="1" si="4"/>
        <v>-3.2172102678397735E-2</v>
      </c>
      <c r="Q28" s="38">
        <f t="shared" si="5"/>
        <v>44817.697999999858</v>
      </c>
      <c r="S28" s="11">
        <f t="shared" ca="1" si="6"/>
        <v>1.1111325201356357E-6</v>
      </c>
    </row>
    <row r="29" spans="1:19" s="11" customFormat="1" ht="12.95" customHeight="1" x14ac:dyDescent="0.2">
      <c r="C29" s="17"/>
      <c r="D29" s="17"/>
      <c r="Q29" s="38"/>
    </row>
    <row r="30" spans="1:19" s="11" customFormat="1" ht="12.95" customHeight="1" x14ac:dyDescent="0.2">
      <c r="C30" s="17"/>
      <c r="D30" s="17"/>
      <c r="Q30" s="38"/>
    </row>
    <row r="31" spans="1:19" s="11" customFormat="1" ht="12.95" customHeight="1" x14ac:dyDescent="0.2">
      <c r="C31" s="17"/>
      <c r="D31" s="17"/>
      <c r="Q31" s="38"/>
    </row>
    <row r="32" spans="1:19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2024-03-02T07:03:27Z</dcterms:modified>
</cp:coreProperties>
</file>