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35F8025-8108-41FB-A484-9E484442295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3" i="1"/>
  <c r="F33" i="1"/>
  <c r="G33" i="1"/>
  <c r="K33" i="1"/>
  <c r="E32" i="1"/>
  <c r="F32" i="1"/>
  <c r="G32" i="1"/>
  <c r="H32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Q21" i="1"/>
  <c r="Q22" i="1"/>
  <c r="Q23" i="1"/>
  <c r="Q24" i="1"/>
  <c r="Q25" i="1"/>
  <c r="Q26" i="1"/>
  <c r="K27" i="1"/>
  <c r="Q27" i="1"/>
  <c r="Q28" i="1"/>
  <c r="Q29" i="1"/>
  <c r="Q30" i="1"/>
  <c r="Q31" i="1"/>
  <c r="Q33" i="1"/>
  <c r="G15" i="2"/>
  <c r="C15" i="2"/>
  <c r="E15" i="2"/>
  <c r="G14" i="2"/>
  <c r="C14" i="2"/>
  <c r="E14" i="2"/>
  <c r="G13" i="2"/>
  <c r="C13" i="2"/>
  <c r="E13" i="2"/>
  <c r="G12" i="2"/>
  <c r="C12" i="2"/>
  <c r="E12" i="2"/>
  <c r="G27" i="2"/>
  <c r="C27" i="2"/>
  <c r="E27" i="2"/>
  <c r="G11" i="2"/>
  <c r="C11" i="2"/>
  <c r="E11" i="2"/>
  <c r="G26" i="2"/>
  <c r="C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G17" i="2"/>
  <c r="C17" i="2"/>
  <c r="E17" i="2"/>
  <c r="G16" i="2"/>
  <c r="C16" i="2"/>
  <c r="E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27" i="2"/>
  <c r="D27" i="2"/>
  <c r="B27" i="2"/>
  <c r="A27" i="2"/>
  <c r="H11" i="2"/>
  <c r="B11" i="2"/>
  <c r="D11" i="2"/>
  <c r="A11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F11" i="1"/>
  <c r="Q36" i="1"/>
  <c r="Q37" i="1"/>
  <c r="Q34" i="1"/>
  <c r="Q35" i="1"/>
  <c r="A32" i="1"/>
  <c r="C32" i="1"/>
  <c r="G11" i="1"/>
  <c r="E14" i="1"/>
  <c r="E15" i="1" s="1"/>
  <c r="C17" i="1"/>
  <c r="Q32" i="1"/>
  <c r="E18" i="2"/>
  <c r="E26" i="2"/>
  <c r="C11" i="1"/>
  <c r="C12" i="1"/>
  <c r="C16" i="1" l="1"/>
  <c r="D18" i="1" s="1"/>
  <c r="O34" i="1"/>
  <c r="O35" i="1"/>
  <c r="O33" i="1"/>
  <c r="O22" i="1"/>
  <c r="O23" i="1"/>
  <c r="O27" i="1"/>
  <c r="O30" i="1"/>
  <c r="O26" i="1"/>
  <c r="O25" i="1"/>
  <c r="O21" i="1"/>
  <c r="O32" i="1"/>
  <c r="C15" i="1"/>
  <c r="O37" i="1"/>
  <c r="O36" i="1"/>
  <c r="O29" i="1"/>
  <c r="O31" i="1"/>
  <c r="O24" i="1"/>
  <c r="O28" i="1"/>
  <c r="C18" i="1" l="1"/>
  <c r="E16" i="1"/>
  <c r="E17" i="1" s="1"/>
</calcChain>
</file>

<file path=xl/sharedStrings.xml><?xml version="1.0" encoding="utf-8"?>
<sst xmlns="http://schemas.openxmlformats.org/spreadsheetml/2006/main" count="220" uniqueCount="125">
  <si>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</si>
  <si>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</si>
  <si>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</si>
  <si>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</si>
  <si>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</si>
  <si>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</si>
  <si>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</si>
  <si>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</si>
  <si>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</si>
  <si>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</si>
  <si>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</si>
  <si>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</si>
  <si>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</si>
  <si>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</si>
  <si>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</si>
  <si>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</si>
  <si>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</si>
  <si>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</si>
  <si>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</si>
  <si>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</si>
  <si>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</si>
  <si>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</si>
  <si>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</si>
  <si>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</si>
  <si>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</si>
  <si>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</si>
  <si>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</si>
  <si>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</si>
  <si>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</si>
  <si>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</si>
  <si>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</si>
  <si>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</si>
  <si>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</si>
  <si>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</si>
  <si>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</si>
  <si>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</si>
  <si>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</si>
  <si>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</si>
  <si>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</si>
  <si>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</si>
  <si>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CM Per</t>
  </si>
  <si>
    <t>CM Per / GSC 3693-1696</t>
  </si>
  <si>
    <t>EA</t>
  </si>
  <si>
    <t>OEJV 0155</t>
  </si>
  <si>
    <t>I</t>
  </si>
  <si>
    <t>0,0100</t>
  </si>
  <si>
    <t>OEJV 0172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</si>
  <si>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</si>
  <si>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</si>
  <si>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</si>
  <si>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</si>
  <si>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</si>
  <si>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</si>
  <si>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</si>
  <si>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</si>
  <si>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</si>
  <si>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</si>
  <si>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</si>
  <si>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2428016.42 </t>
  </si>
  <si>
    <t> 01.08.1935 22:04 </t>
  </si>
  <si>
    <t> 1.42 </t>
  </si>
  <si>
    <t>P </t>
  </si>
  <si>
    <t> C.Hoffmeister </t>
  </si>
  <si>
    <t> VSS 1.74 </t>
  </si>
  <si>
    <t>2428247.55 </t>
  </si>
  <si>
    <t> 20.03.1936 01:12 </t>
  </si>
  <si>
    <t> 0.74 </t>
  </si>
  <si>
    <t>2428865.43 </t>
  </si>
  <si>
    <t> 27.11.1937 22:19 </t>
  </si>
  <si>
    <t> 0.43 </t>
  </si>
  <si>
    <t>2429250.68 </t>
  </si>
  <si>
    <t> 18.12.1938 04:19 </t>
  </si>
  <si>
    <t> -0.68 </t>
  </si>
  <si>
    <t>2429289.35 </t>
  </si>
  <si>
    <t> 25.01.1939 20:24 </t>
  </si>
  <si>
    <t> -0.65 </t>
  </si>
  <si>
    <t>2429638.40 </t>
  </si>
  <si>
    <t> 09.01.1940 21:36 </t>
  </si>
  <si>
    <t> 0.67 </t>
  </si>
  <si>
    <t>2429984.80 </t>
  </si>
  <si>
    <t> 21.12.1940 07:12 </t>
  </si>
  <si>
    <t> -0.66 </t>
  </si>
  <si>
    <t>2430023.84 </t>
  </si>
  <si>
    <t> 29.01.1941 08:09 </t>
  </si>
  <si>
    <t> -0.25 </t>
  </si>
  <si>
    <t>2430372.27 </t>
  </si>
  <si>
    <t> 12.01.1942 18:28 </t>
  </si>
  <si>
    <t> 0.45 </t>
  </si>
  <si>
    <t>2430409.66 </t>
  </si>
  <si>
    <t> 19.02.1942 03:50 </t>
  </si>
  <si>
    <t> -0.80 </t>
  </si>
  <si>
    <t>2430991.43 </t>
  </si>
  <si>
    <t> 23.09.1943 22:19 </t>
  </si>
  <si>
    <t>2436128.66 </t>
  </si>
  <si>
    <t> 17.10.1957 03:50 </t>
  </si>
  <si>
    <t> 0.00 </t>
  </si>
  <si>
    <t>V </t>
  </si>
  <si>
    <t> R.Szafraniec </t>
  </si>
  <si>
    <t> AA 8.192 </t>
  </si>
  <si>
    <t>2439026.43 </t>
  </si>
  <si>
    <t> 22.09.1965 22:19 </t>
  </si>
  <si>
    <t> 0.03 </t>
  </si>
  <si>
    <t> K.Häussler </t>
  </si>
  <si>
    <t> HABZ 89 </t>
  </si>
  <si>
    <t>2455985.3320 </t>
  </si>
  <si>
    <t> 27.02.2012 19:58 </t>
  </si>
  <si>
    <t> -2.4890 </t>
  </si>
  <si>
    <t>C </t>
  </si>
  <si>
    <t>ns</t>
  </si>
  <si>
    <t> A.Paschke </t>
  </si>
  <si>
    <t>OEJV 0155 </t>
  </si>
  <si>
    <t>2456178.5120 </t>
  </si>
  <si>
    <t> 08.09.2012 00:17 </t>
  </si>
  <si>
    <t> -2.4915 </t>
  </si>
  <si>
    <t>2457028.415 </t>
  </si>
  <si>
    <t> 05.01.2015 21:57 </t>
  </si>
  <si>
    <t> -2.592 </t>
  </si>
  <si>
    <t>OEJV 0172 </t>
  </si>
  <si>
    <t>2457028.486 </t>
  </si>
  <si>
    <t> 05.01.2015 23:39 </t>
  </si>
  <si>
    <t> -2.521 </t>
  </si>
  <si>
    <t>G3693-1696</t>
  </si>
  <si>
    <t>vis?</t>
  </si>
  <si>
    <t>VSS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</si>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</sst>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172" fontId="17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Per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</c:v>
                </c:pt>
                <c:pt idx="1">
                  <c:v>-204</c:v>
                </c:pt>
                <c:pt idx="2">
                  <c:v>-188</c:v>
                </c:pt>
                <c:pt idx="3">
                  <c:v>-178</c:v>
                </c:pt>
                <c:pt idx="4">
                  <c:v>-177</c:v>
                </c:pt>
                <c:pt idx="5">
                  <c:v>-168</c:v>
                </c:pt>
                <c:pt idx="6">
                  <c:v>-159</c:v>
                </c:pt>
                <c:pt idx="7">
                  <c:v>-158</c:v>
                </c:pt>
                <c:pt idx="8">
                  <c:v>-149</c:v>
                </c:pt>
                <c:pt idx="9">
                  <c:v>-148</c:v>
                </c:pt>
                <c:pt idx="10">
                  <c:v>-133</c:v>
                </c:pt>
                <c:pt idx="11">
                  <c:v>0</c:v>
                </c:pt>
                <c:pt idx="12">
                  <c:v>75</c:v>
                </c:pt>
                <c:pt idx="13">
                  <c:v>514</c:v>
                </c:pt>
                <c:pt idx="14">
                  <c:v>519</c:v>
                </c:pt>
                <c:pt idx="15">
                  <c:v>541</c:v>
                </c:pt>
                <c:pt idx="16">
                  <c:v>541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56-4898-B65C-C2CB8D2123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</c:v>
                </c:pt>
                <c:pt idx="1">
                  <c:v>-204</c:v>
                </c:pt>
                <c:pt idx="2">
                  <c:v>-188</c:v>
                </c:pt>
                <c:pt idx="3">
                  <c:v>-178</c:v>
                </c:pt>
                <c:pt idx="4">
                  <c:v>-177</c:v>
                </c:pt>
                <c:pt idx="5">
                  <c:v>-168</c:v>
                </c:pt>
                <c:pt idx="6">
                  <c:v>-159</c:v>
                </c:pt>
                <c:pt idx="7">
                  <c:v>-158</c:v>
                </c:pt>
                <c:pt idx="8">
                  <c:v>-149</c:v>
                </c:pt>
                <c:pt idx="9">
                  <c:v>-148</c:v>
                </c:pt>
                <c:pt idx="10">
                  <c:v>-133</c:v>
                </c:pt>
                <c:pt idx="11">
                  <c:v>0</c:v>
                </c:pt>
                <c:pt idx="12">
                  <c:v>75</c:v>
                </c:pt>
                <c:pt idx="13">
                  <c:v>514</c:v>
                </c:pt>
                <c:pt idx="14">
                  <c:v>519</c:v>
                </c:pt>
                <c:pt idx="15">
                  <c:v>541</c:v>
                </c:pt>
                <c:pt idx="16">
                  <c:v>541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3">
                  <c:v>-2.489000000001397</c:v>
                </c:pt>
                <c:pt idx="14">
                  <c:v>-2.4915000000037253</c:v>
                </c:pt>
                <c:pt idx="15">
                  <c:v>-2.5915000000022701</c:v>
                </c:pt>
                <c:pt idx="16">
                  <c:v>-2.5205000000059954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56-4898-B65C-C2CB8D2123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</c:v>
                </c:pt>
                <c:pt idx="1">
                  <c:v>-204</c:v>
                </c:pt>
                <c:pt idx="2">
                  <c:v>-188</c:v>
                </c:pt>
                <c:pt idx="3">
                  <c:v>-178</c:v>
                </c:pt>
                <c:pt idx="4">
                  <c:v>-177</c:v>
                </c:pt>
                <c:pt idx="5">
                  <c:v>-168</c:v>
                </c:pt>
                <c:pt idx="6">
                  <c:v>-159</c:v>
                </c:pt>
                <c:pt idx="7">
                  <c:v>-158</c:v>
                </c:pt>
                <c:pt idx="8">
                  <c:v>-149</c:v>
                </c:pt>
                <c:pt idx="9">
                  <c:v>-148</c:v>
                </c:pt>
                <c:pt idx="10">
                  <c:v>-133</c:v>
                </c:pt>
                <c:pt idx="11">
                  <c:v>0</c:v>
                </c:pt>
                <c:pt idx="12">
                  <c:v>75</c:v>
                </c:pt>
                <c:pt idx="13">
                  <c:v>514</c:v>
                </c:pt>
                <c:pt idx="14">
                  <c:v>519</c:v>
                </c:pt>
                <c:pt idx="15">
                  <c:v>541</c:v>
                </c:pt>
                <c:pt idx="16">
                  <c:v>541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56-4898-B65C-C2CB8D2123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</c:v>
                </c:pt>
                <c:pt idx="1">
                  <c:v>-204</c:v>
                </c:pt>
                <c:pt idx="2">
                  <c:v>-188</c:v>
                </c:pt>
                <c:pt idx="3">
                  <c:v>-178</c:v>
                </c:pt>
                <c:pt idx="4">
                  <c:v>-177</c:v>
                </c:pt>
                <c:pt idx="5">
                  <c:v>-168</c:v>
                </c:pt>
                <c:pt idx="6">
                  <c:v>-159</c:v>
                </c:pt>
                <c:pt idx="7">
                  <c:v>-158</c:v>
                </c:pt>
                <c:pt idx="8">
                  <c:v>-149</c:v>
                </c:pt>
                <c:pt idx="9">
                  <c:v>-148</c:v>
                </c:pt>
                <c:pt idx="10">
                  <c:v>-133</c:v>
                </c:pt>
                <c:pt idx="11">
                  <c:v>0</c:v>
                </c:pt>
                <c:pt idx="12">
                  <c:v>75</c:v>
                </c:pt>
                <c:pt idx="13">
                  <c:v>514</c:v>
                </c:pt>
                <c:pt idx="14">
                  <c:v>519</c:v>
                </c:pt>
                <c:pt idx="15">
                  <c:v>541</c:v>
                </c:pt>
                <c:pt idx="16">
                  <c:v>541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1.4249999999956344</c:v>
                </c:pt>
                <c:pt idx="1">
                  <c:v>0.73599999999350985</c:v>
                </c:pt>
                <c:pt idx="2">
                  <c:v>0.43199999999706051</c:v>
                </c:pt>
                <c:pt idx="3">
                  <c:v>-0.6830000000045402</c:v>
                </c:pt>
                <c:pt idx="4">
                  <c:v>-0.6495000000068103</c:v>
                </c:pt>
                <c:pt idx="5">
                  <c:v>0.67199999999866122</c:v>
                </c:pt>
                <c:pt idx="6">
                  <c:v>-0.65650000000459841</c:v>
                </c:pt>
                <c:pt idx="7">
                  <c:v>-0.25300000000424916</c:v>
                </c:pt>
                <c:pt idx="8">
                  <c:v>0.44849999999496504</c:v>
                </c:pt>
                <c:pt idx="9">
                  <c:v>-0.79800000000614091</c:v>
                </c:pt>
                <c:pt idx="10">
                  <c:v>1.4244999999973516</c:v>
                </c:pt>
                <c:pt idx="12">
                  <c:v>3.2499999993888196E-2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56-4898-B65C-C2CB8D2123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</c:v>
                </c:pt>
                <c:pt idx="1">
                  <c:v>-204</c:v>
                </c:pt>
                <c:pt idx="2">
                  <c:v>-188</c:v>
                </c:pt>
                <c:pt idx="3">
                  <c:v>-178</c:v>
                </c:pt>
                <c:pt idx="4">
                  <c:v>-177</c:v>
                </c:pt>
                <c:pt idx="5">
                  <c:v>-168</c:v>
                </c:pt>
                <c:pt idx="6">
                  <c:v>-159</c:v>
                </c:pt>
                <c:pt idx="7">
                  <c:v>-158</c:v>
                </c:pt>
                <c:pt idx="8">
                  <c:v>-149</c:v>
                </c:pt>
                <c:pt idx="9">
                  <c:v>-148</c:v>
                </c:pt>
                <c:pt idx="10">
                  <c:v>-133</c:v>
                </c:pt>
                <c:pt idx="11">
                  <c:v>0</c:v>
                </c:pt>
                <c:pt idx="12">
                  <c:v>75</c:v>
                </c:pt>
                <c:pt idx="13">
                  <c:v>514</c:v>
                </c:pt>
                <c:pt idx="14">
                  <c:v>519</c:v>
                </c:pt>
                <c:pt idx="15">
                  <c:v>541</c:v>
                </c:pt>
                <c:pt idx="16">
                  <c:v>541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56-4898-B65C-C2CB8D2123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</c:v>
                </c:pt>
                <c:pt idx="1">
                  <c:v>-204</c:v>
                </c:pt>
                <c:pt idx="2">
                  <c:v>-188</c:v>
                </c:pt>
                <c:pt idx="3">
                  <c:v>-178</c:v>
                </c:pt>
                <c:pt idx="4">
                  <c:v>-177</c:v>
                </c:pt>
                <c:pt idx="5">
                  <c:v>-168</c:v>
                </c:pt>
                <c:pt idx="6">
                  <c:v>-159</c:v>
                </c:pt>
                <c:pt idx="7">
                  <c:v>-158</c:v>
                </c:pt>
                <c:pt idx="8">
                  <c:v>-149</c:v>
                </c:pt>
                <c:pt idx="9">
                  <c:v>-148</c:v>
                </c:pt>
                <c:pt idx="10">
                  <c:v>-133</c:v>
                </c:pt>
                <c:pt idx="11">
                  <c:v>0</c:v>
                </c:pt>
                <c:pt idx="12">
                  <c:v>75</c:v>
                </c:pt>
                <c:pt idx="13">
                  <c:v>514</c:v>
                </c:pt>
                <c:pt idx="14">
                  <c:v>519</c:v>
                </c:pt>
                <c:pt idx="15">
                  <c:v>541</c:v>
                </c:pt>
                <c:pt idx="16">
                  <c:v>541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56-4898-B65C-C2CB8D2123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0.08</c:v>
                  </c:pt>
                  <c:pt idx="16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</c:v>
                </c:pt>
                <c:pt idx="1">
                  <c:v>-204</c:v>
                </c:pt>
                <c:pt idx="2">
                  <c:v>-188</c:v>
                </c:pt>
                <c:pt idx="3">
                  <c:v>-178</c:v>
                </c:pt>
                <c:pt idx="4">
                  <c:v>-177</c:v>
                </c:pt>
                <c:pt idx="5">
                  <c:v>-168</c:v>
                </c:pt>
                <c:pt idx="6">
                  <c:v>-159</c:v>
                </c:pt>
                <c:pt idx="7">
                  <c:v>-158</c:v>
                </c:pt>
                <c:pt idx="8">
                  <c:v>-149</c:v>
                </c:pt>
                <c:pt idx="9">
                  <c:v>-148</c:v>
                </c:pt>
                <c:pt idx="10">
                  <c:v>-133</c:v>
                </c:pt>
                <c:pt idx="11">
                  <c:v>0</c:v>
                </c:pt>
                <c:pt idx="12">
                  <c:v>75</c:v>
                </c:pt>
                <c:pt idx="13">
                  <c:v>514</c:v>
                </c:pt>
                <c:pt idx="14">
                  <c:v>519</c:v>
                </c:pt>
                <c:pt idx="15">
                  <c:v>541</c:v>
                </c:pt>
                <c:pt idx="16">
                  <c:v>541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56-4898-B65C-C2CB8D2123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-210</c:v>
                </c:pt>
                <c:pt idx="1">
                  <c:v>-204</c:v>
                </c:pt>
                <c:pt idx="2">
                  <c:v>-188</c:v>
                </c:pt>
                <c:pt idx="3">
                  <c:v>-178</c:v>
                </c:pt>
                <c:pt idx="4">
                  <c:v>-177</c:v>
                </c:pt>
                <c:pt idx="5">
                  <c:v>-168</c:v>
                </c:pt>
                <c:pt idx="6">
                  <c:v>-159</c:v>
                </c:pt>
                <c:pt idx="7">
                  <c:v>-158</c:v>
                </c:pt>
                <c:pt idx="8">
                  <c:v>-149</c:v>
                </c:pt>
                <c:pt idx="9">
                  <c:v>-148</c:v>
                </c:pt>
                <c:pt idx="10">
                  <c:v>-133</c:v>
                </c:pt>
                <c:pt idx="11">
                  <c:v>0</c:v>
                </c:pt>
                <c:pt idx="12">
                  <c:v>75</c:v>
                </c:pt>
                <c:pt idx="13">
                  <c:v>514</c:v>
                </c:pt>
                <c:pt idx="14">
                  <c:v>519</c:v>
                </c:pt>
                <c:pt idx="15">
                  <c:v>541</c:v>
                </c:pt>
                <c:pt idx="16">
                  <c:v>541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0.41726215307320358</c:v>
                </c:pt>
                <c:pt idx="1">
                  <c:v>0.39402842374864633</c:v>
                </c:pt>
                <c:pt idx="2">
                  <c:v>0.33207181221649362</c:v>
                </c:pt>
                <c:pt idx="3">
                  <c:v>0.29334893000889817</c:v>
                </c:pt>
                <c:pt idx="4">
                  <c:v>0.28947664178813859</c:v>
                </c:pt>
                <c:pt idx="5">
                  <c:v>0.2546260478013026</c:v>
                </c:pt>
                <c:pt idx="6">
                  <c:v>0.21977545381446673</c:v>
                </c:pt>
                <c:pt idx="7">
                  <c:v>0.21590316559370715</c:v>
                </c:pt>
                <c:pt idx="8">
                  <c:v>0.18105257160687127</c:v>
                </c:pt>
                <c:pt idx="9">
                  <c:v>0.17718028338611169</c:v>
                </c:pt>
                <c:pt idx="10">
                  <c:v>0.11909596007471857</c:v>
                </c:pt>
                <c:pt idx="11">
                  <c:v>-0.3959183732863012</c:v>
                </c:pt>
                <c:pt idx="12">
                  <c:v>-0.68633998984326716</c:v>
                </c:pt>
                <c:pt idx="13">
                  <c:v>-2.386274518756708</c:v>
                </c:pt>
                <c:pt idx="14">
                  <c:v>-2.4056359598605059</c:v>
                </c:pt>
                <c:pt idx="15">
                  <c:v>-2.4908263007172158</c:v>
                </c:pt>
                <c:pt idx="16">
                  <c:v>-2.4908263007172158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56-4898-B65C-C2CB8D21233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-210</c:v>
                </c:pt>
                <c:pt idx="1">
                  <c:v>-204</c:v>
                </c:pt>
                <c:pt idx="2">
                  <c:v>-188</c:v>
                </c:pt>
                <c:pt idx="3">
                  <c:v>-178</c:v>
                </c:pt>
                <c:pt idx="4">
                  <c:v>-177</c:v>
                </c:pt>
                <c:pt idx="5">
                  <c:v>-168</c:v>
                </c:pt>
                <c:pt idx="6">
                  <c:v>-159</c:v>
                </c:pt>
                <c:pt idx="7">
                  <c:v>-158</c:v>
                </c:pt>
                <c:pt idx="8">
                  <c:v>-149</c:v>
                </c:pt>
                <c:pt idx="9">
                  <c:v>-148</c:v>
                </c:pt>
                <c:pt idx="10">
                  <c:v>-133</c:v>
                </c:pt>
                <c:pt idx="11">
                  <c:v>0</c:v>
                </c:pt>
                <c:pt idx="12">
                  <c:v>75</c:v>
                </c:pt>
                <c:pt idx="13">
                  <c:v>514</c:v>
                </c:pt>
                <c:pt idx="14">
                  <c:v>519</c:v>
                </c:pt>
                <c:pt idx="15">
                  <c:v>541</c:v>
                </c:pt>
                <c:pt idx="16">
                  <c:v>541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D56-4898-B65C-C2CB8D212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304760"/>
        <c:axId val="1"/>
      </c:scatterChart>
      <c:valAx>
        <c:axId val="587304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7304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4436090225564"/>
          <c:y val="0.92375366568914952"/>
          <c:w val="0.783458646616541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0</xdr:row>
      <xdr:rowOff>161925</xdr:rowOff>
    </xdr:from>
    <xdr:to>
      <xdr:col>18</xdr:col>
      <xdr:colOff>133350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BA85B2E-B22E-A803-1F49-BF585CD24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72.pdf" TargetMode="External"/><Relationship Id="rId2" Type="http://schemas.openxmlformats.org/officeDocument/2006/relationships/hyperlink" Target="http://var.astro.cz/oejv/issues/oejv0155.pdf" TargetMode="External"/><Relationship Id="rId1" Type="http://schemas.openxmlformats.org/officeDocument/2006/relationships/hyperlink" Target="http://var.astro.cz/oejv/issues/oejv0155.pdf" TargetMode="External"/><Relationship Id="rId4" Type="http://schemas.openxmlformats.org/officeDocument/2006/relationships/hyperlink" Target="http://var.astro.cz/oejv/issues/oejv0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28" customFormat="1" ht="12.95" customHeight="1" x14ac:dyDescent="0.2">
      <c r="A2" s="28" t="s">
        <v>24</v>
      </c>
      <c r="B2" s="28" t="s">
        <v>42</v>
      </c>
      <c r="C2" s="29"/>
      <c r="D2" s="29"/>
      <c r="E2" s="28" t="s">
        <v>40</v>
      </c>
      <c r="F2" s="28" t="s">
        <v>121</v>
      </c>
    </row>
    <row r="3" spans="1:7" s="28" customFormat="1" ht="12.95" customHeight="1" thickBot="1" x14ac:dyDescent="0.25"/>
    <row r="4" spans="1:7" s="28" customFormat="1" ht="12.95" customHeight="1" thickTop="1" thickBot="1" x14ac:dyDescent="0.25">
      <c r="A4" s="30" t="s">
        <v>0</v>
      </c>
      <c r="C4" s="31" t="s">
        <v>39</v>
      </c>
      <c r="D4" s="32" t="s">
        <v>39</v>
      </c>
    </row>
    <row r="5" spans="1:7" s="28" customFormat="1" ht="12.95" customHeight="1" x14ac:dyDescent="0.2"/>
    <row r="6" spans="1:7" s="28" customFormat="1" ht="12.95" customHeight="1" x14ac:dyDescent="0.2">
      <c r="A6" s="30" t="s">
        <v>1</v>
      </c>
    </row>
    <row r="7" spans="1:7" s="28" customFormat="1" ht="12.95" customHeight="1" x14ac:dyDescent="0.2">
      <c r="A7" s="28" t="s">
        <v>2</v>
      </c>
      <c r="C7" s="33">
        <v>36128.660000000003</v>
      </c>
      <c r="D7" s="34" t="s">
        <v>124</v>
      </c>
    </row>
    <row r="8" spans="1:7" s="28" customFormat="1" ht="12.95" customHeight="1" x14ac:dyDescent="0.2">
      <c r="A8" s="28" t="s">
        <v>3</v>
      </c>
      <c r="C8" s="33">
        <v>38.636499999999998</v>
      </c>
      <c r="D8" s="34" t="s">
        <v>124</v>
      </c>
    </row>
    <row r="9" spans="1:7" s="28" customFormat="1" ht="12.95" customHeight="1" x14ac:dyDescent="0.2">
      <c r="A9" s="35" t="s">
        <v>29</v>
      </c>
      <c r="C9" s="36">
        <v>-9.5</v>
      </c>
      <c r="D9" s="28" t="s">
        <v>30</v>
      </c>
    </row>
    <row r="10" spans="1:7" s="28" customFormat="1" ht="12.95" customHeight="1" thickBot="1" x14ac:dyDescent="0.25">
      <c r="C10" s="37" t="s">
        <v>20</v>
      </c>
      <c r="D10" s="37" t="s">
        <v>21</v>
      </c>
    </row>
    <row r="11" spans="1:7" s="28" customFormat="1" ht="12.95" customHeight="1" x14ac:dyDescent="0.2">
      <c r="A11" s="28" t="s">
        <v>15</v>
      </c>
      <c r="C11" s="38">
        <f ca="1">INTERCEPT(INDIRECT($G$11):G992,INDIRECT($F$11):F992)</f>
        <v>-0.3959183732863012</v>
      </c>
      <c r="D11" s="29"/>
      <c r="F11" s="39" t="str">
        <f>"F"&amp;E19</f>
        <v>F21</v>
      </c>
      <c r="G11" s="38" t="str">
        <f>"G"&amp;E19</f>
        <v>G21</v>
      </c>
    </row>
    <row r="12" spans="1:7" s="28" customFormat="1" ht="12.95" customHeight="1" x14ac:dyDescent="0.2">
      <c r="A12" s="28" t="s">
        <v>16</v>
      </c>
      <c r="C12" s="38">
        <f ca="1">SLOPE(INDIRECT($G$11):G992,INDIRECT($F$11):F992)</f>
        <v>-3.8722882207595467E-3</v>
      </c>
      <c r="D12" s="29"/>
    </row>
    <row r="13" spans="1:7" s="28" customFormat="1" ht="12.95" customHeight="1" x14ac:dyDescent="0.2">
      <c r="A13" s="28" t="s">
        <v>19</v>
      </c>
      <c r="C13" s="29" t="s">
        <v>13</v>
      </c>
      <c r="D13" s="40" t="s">
        <v>36</v>
      </c>
      <c r="E13" s="36">
        <v>1</v>
      </c>
    </row>
    <row r="14" spans="1:7" s="28" customFormat="1" ht="12.95" customHeight="1" x14ac:dyDescent="0.2">
      <c r="D14" s="40" t="s">
        <v>31</v>
      </c>
      <c r="E14" s="41">
        <f ca="1">NOW()+15018.5+$C$9/24</f>
        <v>60372.696228587964</v>
      </c>
    </row>
    <row r="15" spans="1:7" s="28" customFormat="1" ht="12.95" customHeight="1" x14ac:dyDescent="0.2">
      <c r="A15" s="42" t="s">
        <v>17</v>
      </c>
      <c r="C15" s="43">
        <f ca="1">(C7+C11)+(C8+C12)*INT(MAX(F21:F3533))</f>
        <v>57028.515673699279</v>
      </c>
      <c r="D15" s="40" t="s">
        <v>37</v>
      </c>
      <c r="E15" s="41">
        <f ca="1">ROUND(2*(E14-$C$7)/$C$8,0)/2+E13</f>
        <v>628.5</v>
      </c>
    </row>
    <row r="16" spans="1:7" s="28" customFormat="1" ht="12.95" customHeight="1" x14ac:dyDescent="0.2">
      <c r="A16" s="30" t="s">
        <v>4</v>
      </c>
      <c r="C16" s="44">
        <f ca="1">+C8+C12</f>
        <v>38.632627711779236</v>
      </c>
      <c r="D16" s="40" t="s">
        <v>38</v>
      </c>
      <c r="E16" s="38">
        <f ca="1">ROUND(2*(E14-$C$15)/$C$16,0)/2+E13</f>
        <v>87.5</v>
      </c>
    </row>
    <row r="17" spans="1:18" s="28" customFormat="1" ht="12.95" customHeight="1" thickBot="1" x14ac:dyDescent="0.25">
      <c r="A17" s="40" t="s">
        <v>28</v>
      </c>
      <c r="C17" s="28">
        <f>COUNT(C21:C2191)</f>
        <v>17</v>
      </c>
      <c r="D17" s="40" t="s">
        <v>32</v>
      </c>
      <c r="E17" s="45">
        <f ca="1">+$C$15+$C$16*E16-15018.5-$C$9/24</f>
        <v>45390.766431813296</v>
      </c>
    </row>
    <row r="18" spans="1:18" s="28" customFormat="1" ht="12.95" customHeight="1" thickTop="1" thickBot="1" x14ac:dyDescent="0.25">
      <c r="A18" s="30" t="s">
        <v>5</v>
      </c>
      <c r="C18" s="46">
        <f ca="1">+C15</f>
        <v>57028.515673699279</v>
      </c>
      <c r="D18" s="47">
        <f ca="1">+C16</f>
        <v>38.632627711779236</v>
      </c>
      <c r="E18" s="48" t="s">
        <v>33</v>
      </c>
    </row>
    <row r="19" spans="1:18" s="28" customFormat="1" ht="12.95" customHeight="1" thickTop="1" x14ac:dyDescent="0.2">
      <c r="A19" s="49" t="s">
        <v>34</v>
      </c>
      <c r="E19" s="50">
        <v>21</v>
      </c>
    </row>
    <row r="20" spans="1:18" s="28" customFormat="1" ht="12.95" customHeight="1" thickBot="1" x14ac:dyDescent="0.25">
      <c r="A20" s="37" t="s">
        <v>6</v>
      </c>
      <c r="B20" s="37" t="s">
        <v>7</v>
      </c>
      <c r="C20" s="37" t="s">
        <v>8</v>
      </c>
      <c r="D20" s="37" t="s">
        <v>12</v>
      </c>
      <c r="E20" s="37" t="s">
        <v>9</v>
      </c>
      <c r="F20" s="37" t="s">
        <v>10</v>
      </c>
      <c r="G20" s="37" t="s">
        <v>11</v>
      </c>
      <c r="H20" s="51" t="s">
        <v>123</v>
      </c>
      <c r="I20" s="51" t="s">
        <v>49</v>
      </c>
      <c r="J20" s="51" t="s">
        <v>18</v>
      </c>
      <c r="K20" s="51" t="s">
        <v>122</v>
      </c>
      <c r="L20" s="51" t="s">
        <v>25</v>
      </c>
      <c r="M20" s="51" t="s">
        <v>26</v>
      </c>
      <c r="N20" s="51" t="s">
        <v>27</v>
      </c>
      <c r="O20" s="51" t="s">
        <v>23</v>
      </c>
      <c r="P20" s="52" t="s">
        <v>22</v>
      </c>
      <c r="Q20" s="37" t="s">
        <v>14</v>
      </c>
      <c r="R20" s="53" t="s">
        <v>35</v>
      </c>
    </row>
    <row r="21" spans="1:18" s="28" customFormat="1" ht="12.95" customHeight="1" x14ac:dyDescent="0.2">
      <c r="A21" s="54" t="s">
        <v>63</v>
      </c>
      <c r="B21" s="55" t="s">
        <v>44</v>
      </c>
      <c r="C21" s="56">
        <v>28016.42</v>
      </c>
      <c r="D21" s="57"/>
      <c r="E21" s="28">
        <f t="shared" ref="E21:E37" si="0">+(C21-C$7)/C$8</f>
        <v>-209.96311777723153</v>
      </c>
      <c r="F21" s="28">
        <f t="shared" ref="F21:F37" si="1">ROUND(2*E21,0)/2</f>
        <v>-210</v>
      </c>
      <c r="G21" s="28">
        <f t="shared" ref="G21:G37" si="2">+C21-(C$7+F21*C$8)</f>
        <v>1.4249999999956344</v>
      </c>
      <c r="K21" s="28">
        <f t="shared" ref="K21:K31" si="3">+G21</f>
        <v>1.4249999999956344</v>
      </c>
      <c r="O21" s="28">
        <f t="shared" ref="O21:O37" ca="1" si="4">+C$11+C$12*$F21</f>
        <v>0.41726215307320358</v>
      </c>
      <c r="Q21" s="58">
        <f t="shared" ref="Q21:Q37" si="5">+C21-15018.5</f>
        <v>12997.919999999998</v>
      </c>
    </row>
    <row r="22" spans="1:18" s="28" customFormat="1" ht="12.95" customHeight="1" x14ac:dyDescent="0.2">
      <c r="A22" s="54" t="s">
        <v>63</v>
      </c>
      <c r="B22" s="55" t="s">
        <v>44</v>
      </c>
      <c r="C22" s="56">
        <v>28247.55</v>
      </c>
      <c r="D22" s="57"/>
      <c r="E22" s="28">
        <f t="shared" si="0"/>
        <v>-203.9809506554684</v>
      </c>
      <c r="F22" s="28">
        <f t="shared" si="1"/>
        <v>-204</v>
      </c>
      <c r="G22" s="28">
        <f t="shared" si="2"/>
        <v>0.73599999999350985</v>
      </c>
      <c r="K22" s="28">
        <f t="shared" si="3"/>
        <v>0.73599999999350985</v>
      </c>
      <c r="O22" s="28">
        <f t="shared" ca="1" si="4"/>
        <v>0.39402842374864633</v>
      </c>
      <c r="Q22" s="58">
        <f t="shared" si="5"/>
        <v>13229.05</v>
      </c>
    </row>
    <row r="23" spans="1:18" s="28" customFormat="1" ht="12.95" customHeight="1" x14ac:dyDescent="0.2">
      <c r="A23" s="54" t="s">
        <v>63</v>
      </c>
      <c r="B23" s="55" t="s">
        <v>44</v>
      </c>
      <c r="C23" s="56">
        <v>28865.43</v>
      </c>
      <c r="D23" s="57"/>
      <c r="E23" s="28">
        <f t="shared" si="0"/>
        <v>-187.98881886299233</v>
      </c>
      <c r="F23" s="28">
        <f t="shared" si="1"/>
        <v>-188</v>
      </c>
      <c r="G23" s="28">
        <f t="shared" si="2"/>
        <v>0.43199999999706051</v>
      </c>
      <c r="K23" s="28">
        <f t="shared" si="3"/>
        <v>0.43199999999706051</v>
      </c>
      <c r="O23" s="28">
        <f t="shared" ca="1" si="4"/>
        <v>0.33207181221649362</v>
      </c>
      <c r="Q23" s="58">
        <f t="shared" si="5"/>
        <v>13846.93</v>
      </c>
    </row>
    <row r="24" spans="1:18" s="28" customFormat="1" ht="12.95" customHeight="1" x14ac:dyDescent="0.2">
      <c r="A24" s="54" t="s">
        <v>63</v>
      </c>
      <c r="B24" s="55" t="s">
        <v>44</v>
      </c>
      <c r="C24" s="56">
        <v>29250.68</v>
      </c>
      <c r="D24" s="57"/>
      <c r="E24" s="28">
        <f t="shared" si="0"/>
        <v>-178.01767758466744</v>
      </c>
      <c r="F24" s="28">
        <f t="shared" si="1"/>
        <v>-178</v>
      </c>
      <c r="G24" s="28">
        <f t="shared" si="2"/>
        <v>-0.6830000000045402</v>
      </c>
      <c r="K24" s="28">
        <f t="shared" si="3"/>
        <v>-0.6830000000045402</v>
      </c>
      <c r="O24" s="28">
        <f t="shared" ca="1" si="4"/>
        <v>0.29334893000889817</v>
      </c>
      <c r="Q24" s="58">
        <f t="shared" si="5"/>
        <v>14232.18</v>
      </c>
    </row>
    <row r="25" spans="1:18" s="28" customFormat="1" ht="12.95" customHeight="1" x14ac:dyDescent="0.2">
      <c r="A25" s="54" t="s">
        <v>63</v>
      </c>
      <c r="B25" s="55" t="s">
        <v>44</v>
      </c>
      <c r="C25" s="56">
        <v>29289.35</v>
      </c>
      <c r="D25" s="57"/>
      <c r="E25" s="28">
        <f t="shared" si="0"/>
        <v>-177.01681052890416</v>
      </c>
      <c r="F25" s="28">
        <f t="shared" si="1"/>
        <v>-177</v>
      </c>
      <c r="G25" s="28">
        <f t="shared" si="2"/>
        <v>-0.6495000000068103</v>
      </c>
      <c r="K25" s="28">
        <f t="shared" si="3"/>
        <v>-0.6495000000068103</v>
      </c>
      <c r="O25" s="28">
        <f t="shared" ca="1" si="4"/>
        <v>0.28947664178813859</v>
      </c>
      <c r="Q25" s="58">
        <f t="shared" si="5"/>
        <v>14270.849999999999</v>
      </c>
    </row>
    <row r="26" spans="1:18" s="28" customFormat="1" ht="12.95" customHeight="1" x14ac:dyDescent="0.2">
      <c r="A26" s="54" t="s">
        <v>63</v>
      </c>
      <c r="B26" s="55" t="s">
        <v>44</v>
      </c>
      <c r="C26" s="56">
        <v>29638.400000000001</v>
      </c>
      <c r="D26" s="57"/>
      <c r="E26" s="28">
        <f t="shared" si="0"/>
        <v>-167.98260712021022</v>
      </c>
      <c r="F26" s="28">
        <f t="shared" si="1"/>
        <v>-168</v>
      </c>
      <c r="G26" s="28">
        <f t="shared" si="2"/>
        <v>0.67199999999866122</v>
      </c>
      <c r="K26" s="28">
        <f t="shared" si="3"/>
        <v>0.67199999999866122</v>
      </c>
      <c r="O26" s="28">
        <f t="shared" ca="1" si="4"/>
        <v>0.2546260478013026</v>
      </c>
      <c r="Q26" s="58">
        <f t="shared" si="5"/>
        <v>14619.900000000001</v>
      </c>
    </row>
    <row r="27" spans="1:18" s="28" customFormat="1" ht="12.95" customHeight="1" x14ac:dyDescent="0.2">
      <c r="A27" s="54" t="s">
        <v>63</v>
      </c>
      <c r="B27" s="55" t="s">
        <v>44</v>
      </c>
      <c r="C27" s="56">
        <v>29984.799999999999</v>
      </c>
      <c r="D27" s="57"/>
      <c r="E27" s="28">
        <f t="shared" si="0"/>
        <v>-159.01699170473529</v>
      </c>
      <c r="F27" s="28">
        <f t="shared" si="1"/>
        <v>-159</v>
      </c>
      <c r="G27" s="28">
        <f t="shared" si="2"/>
        <v>-0.65650000000459841</v>
      </c>
      <c r="K27" s="28">
        <f t="shared" si="3"/>
        <v>-0.65650000000459841</v>
      </c>
      <c r="O27" s="28">
        <f t="shared" ca="1" si="4"/>
        <v>0.21977545381446673</v>
      </c>
      <c r="Q27" s="58">
        <f t="shared" si="5"/>
        <v>14966.3</v>
      </c>
    </row>
    <row r="28" spans="1:18" s="28" customFormat="1" ht="12.95" customHeight="1" x14ac:dyDescent="0.2">
      <c r="A28" s="54" t="s">
        <v>63</v>
      </c>
      <c r="B28" s="55" t="s">
        <v>44</v>
      </c>
      <c r="C28" s="56">
        <v>30023.84</v>
      </c>
      <c r="D28" s="57"/>
      <c r="E28" s="28">
        <f t="shared" si="0"/>
        <v>-158.00654821218288</v>
      </c>
      <c r="F28" s="28">
        <f t="shared" si="1"/>
        <v>-158</v>
      </c>
      <c r="G28" s="28">
        <f t="shared" si="2"/>
        <v>-0.25300000000424916</v>
      </c>
      <c r="K28" s="28">
        <f t="shared" si="3"/>
        <v>-0.25300000000424916</v>
      </c>
      <c r="O28" s="28">
        <f t="shared" ca="1" si="4"/>
        <v>0.21590316559370715</v>
      </c>
      <c r="Q28" s="58">
        <f t="shared" si="5"/>
        <v>15005.34</v>
      </c>
    </row>
    <row r="29" spans="1:18" s="28" customFormat="1" ht="12.95" customHeight="1" x14ac:dyDescent="0.2">
      <c r="A29" s="54" t="s">
        <v>63</v>
      </c>
      <c r="B29" s="55" t="s">
        <v>44</v>
      </c>
      <c r="C29" s="56">
        <v>30372.27</v>
      </c>
      <c r="D29" s="57"/>
      <c r="E29" s="28">
        <f t="shared" si="0"/>
        <v>-148.98839180567606</v>
      </c>
      <c r="F29" s="28">
        <f t="shared" si="1"/>
        <v>-149</v>
      </c>
      <c r="G29" s="28">
        <f t="shared" si="2"/>
        <v>0.44849999999496504</v>
      </c>
      <c r="K29" s="28">
        <f t="shared" si="3"/>
        <v>0.44849999999496504</v>
      </c>
      <c r="O29" s="28">
        <f t="shared" ca="1" si="4"/>
        <v>0.18105257160687127</v>
      </c>
      <c r="Q29" s="58">
        <f t="shared" si="5"/>
        <v>15353.77</v>
      </c>
    </row>
    <row r="30" spans="1:18" s="28" customFormat="1" ht="12.95" customHeight="1" x14ac:dyDescent="0.2">
      <c r="A30" s="54" t="s">
        <v>63</v>
      </c>
      <c r="B30" s="55" t="s">
        <v>44</v>
      </c>
      <c r="C30" s="56">
        <v>30409.66</v>
      </c>
      <c r="D30" s="57"/>
      <c r="E30" s="28">
        <f t="shared" si="0"/>
        <v>-148.02065404475053</v>
      </c>
      <c r="F30" s="28">
        <f t="shared" si="1"/>
        <v>-148</v>
      </c>
      <c r="G30" s="28">
        <f t="shared" si="2"/>
        <v>-0.79800000000614091</v>
      </c>
      <c r="K30" s="28">
        <f t="shared" si="3"/>
        <v>-0.79800000000614091</v>
      </c>
      <c r="O30" s="28">
        <f t="shared" ca="1" si="4"/>
        <v>0.17718028338611169</v>
      </c>
      <c r="Q30" s="58">
        <f t="shared" si="5"/>
        <v>15391.16</v>
      </c>
    </row>
    <row r="31" spans="1:18" s="28" customFormat="1" ht="12.95" customHeight="1" x14ac:dyDescent="0.2">
      <c r="A31" s="54" t="s">
        <v>63</v>
      </c>
      <c r="B31" s="55" t="s">
        <v>44</v>
      </c>
      <c r="C31" s="56">
        <v>30991.43</v>
      </c>
      <c r="D31" s="57"/>
      <c r="E31" s="28">
        <f t="shared" si="0"/>
        <v>-132.96313071836227</v>
      </c>
      <c r="F31" s="28">
        <f t="shared" si="1"/>
        <v>-133</v>
      </c>
      <c r="G31" s="28">
        <f t="shared" si="2"/>
        <v>1.4244999999973516</v>
      </c>
      <c r="K31" s="28">
        <f t="shared" si="3"/>
        <v>1.4244999999973516</v>
      </c>
      <c r="O31" s="28">
        <f t="shared" ca="1" si="4"/>
        <v>0.11909596007471857</v>
      </c>
      <c r="Q31" s="58">
        <f t="shared" si="5"/>
        <v>15972.93</v>
      </c>
    </row>
    <row r="32" spans="1:18" s="28" customFormat="1" ht="12.95" customHeight="1" x14ac:dyDescent="0.2">
      <c r="A32" s="28" t="str">
        <f>D$7</f>
        <v>VSX</v>
      </c>
      <c r="C32" s="57">
        <f>C$7</f>
        <v>36128.660000000003</v>
      </c>
      <c r="D32" s="57" t="s">
        <v>13</v>
      </c>
      <c r="E32" s="28">
        <f t="shared" si="0"/>
        <v>0</v>
      </c>
      <c r="F32" s="28">
        <f t="shared" si="1"/>
        <v>0</v>
      </c>
      <c r="G32" s="28">
        <f t="shared" si="2"/>
        <v>0</v>
      </c>
      <c r="H32" s="28">
        <f>+G32</f>
        <v>0</v>
      </c>
      <c r="O32" s="28">
        <f t="shared" ca="1" si="4"/>
        <v>-0.3959183732863012</v>
      </c>
      <c r="Q32" s="58">
        <f t="shared" si="5"/>
        <v>21110.160000000003</v>
      </c>
    </row>
    <row r="33" spans="1:17" x14ac:dyDescent="0.2">
      <c r="A33" s="25" t="s">
        <v>103</v>
      </c>
      <c r="B33" s="27" t="s">
        <v>44</v>
      </c>
      <c r="C33" s="26">
        <v>39026.43</v>
      </c>
      <c r="D33" s="4"/>
      <c r="E33">
        <f t="shared" si="0"/>
        <v>75.000841173501655</v>
      </c>
      <c r="F33">
        <f t="shared" si="1"/>
        <v>75</v>
      </c>
      <c r="G33">
        <f t="shared" si="2"/>
        <v>3.2499999993888196E-2</v>
      </c>
      <c r="K33">
        <f>+G33</f>
        <v>3.2499999993888196E-2</v>
      </c>
      <c r="O33">
        <f t="shared" ca="1" si="4"/>
        <v>-0.68633998984326716</v>
      </c>
      <c r="Q33" s="2">
        <f t="shared" si="5"/>
        <v>24007.93</v>
      </c>
    </row>
    <row r="34" spans="1:17" x14ac:dyDescent="0.2">
      <c r="A34" s="6" t="s">
        <v>43</v>
      </c>
      <c r="B34" s="7" t="s">
        <v>44</v>
      </c>
      <c r="C34" s="8">
        <v>55985.332000000002</v>
      </c>
      <c r="D34" s="6" t="s">
        <v>45</v>
      </c>
      <c r="E34">
        <f t="shared" si="0"/>
        <v>513.93557905089745</v>
      </c>
      <c r="F34">
        <f t="shared" si="1"/>
        <v>514</v>
      </c>
      <c r="G34">
        <f t="shared" si="2"/>
        <v>-2.489000000001397</v>
      </c>
      <c r="I34">
        <f>+G34</f>
        <v>-2.489000000001397</v>
      </c>
      <c r="O34">
        <f t="shared" ca="1" si="4"/>
        <v>-2.386274518756708</v>
      </c>
      <c r="Q34" s="2">
        <f t="shared" si="5"/>
        <v>40966.832000000002</v>
      </c>
    </row>
    <row r="35" spans="1:17" x14ac:dyDescent="0.2">
      <c r="A35" s="6" t="s">
        <v>43</v>
      </c>
      <c r="B35" s="7" t="s">
        <v>44</v>
      </c>
      <c r="C35" s="8">
        <v>56178.512000000002</v>
      </c>
      <c r="D35" s="6" t="s">
        <v>45</v>
      </c>
      <c r="E35">
        <f t="shared" si="0"/>
        <v>518.93551434524352</v>
      </c>
      <c r="F35">
        <f t="shared" si="1"/>
        <v>519</v>
      </c>
      <c r="G35">
        <f t="shared" si="2"/>
        <v>-2.4915000000037253</v>
      </c>
      <c r="I35">
        <f>+G35</f>
        <v>-2.4915000000037253</v>
      </c>
      <c r="O35">
        <f t="shared" ca="1" si="4"/>
        <v>-2.4056359598605059</v>
      </c>
      <c r="Q35" s="2">
        <f t="shared" si="5"/>
        <v>41160.012000000002</v>
      </c>
    </row>
    <row r="36" spans="1:17" x14ac:dyDescent="0.2">
      <c r="A36" s="9" t="s">
        <v>46</v>
      </c>
      <c r="B36" s="10" t="s">
        <v>44</v>
      </c>
      <c r="C36" s="11">
        <v>57028.415000000001</v>
      </c>
      <c r="D36" s="11">
        <v>0.08</v>
      </c>
      <c r="E36">
        <f t="shared" si="0"/>
        <v>540.9329261190843</v>
      </c>
      <c r="F36">
        <f t="shared" si="1"/>
        <v>541</v>
      </c>
      <c r="G36">
        <f t="shared" si="2"/>
        <v>-2.5915000000022701</v>
      </c>
      <c r="I36">
        <f>+G36</f>
        <v>-2.5915000000022701</v>
      </c>
      <c r="O36">
        <f t="shared" ca="1" si="4"/>
        <v>-2.4908263007172158</v>
      </c>
      <c r="Q36" s="2">
        <f t="shared" si="5"/>
        <v>42009.915000000001</v>
      </c>
    </row>
    <row r="37" spans="1:17" x14ac:dyDescent="0.2">
      <c r="A37" s="9" t="s">
        <v>46</v>
      </c>
      <c r="B37" s="10" t="s">
        <v>44</v>
      </c>
      <c r="C37" s="11">
        <v>57028.485999999997</v>
      </c>
      <c r="D37" s="11">
        <v>0.04</v>
      </c>
      <c r="E37">
        <f t="shared" si="0"/>
        <v>540.93476375965713</v>
      </c>
      <c r="F37">
        <f t="shared" si="1"/>
        <v>541</v>
      </c>
      <c r="G37">
        <f t="shared" si="2"/>
        <v>-2.5205000000059954</v>
      </c>
      <c r="I37">
        <f>+G37</f>
        <v>-2.5205000000059954</v>
      </c>
      <c r="O37">
        <f t="shared" ca="1" si="4"/>
        <v>-2.4908263007172158</v>
      </c>
      <c r="Q37" s="2">
        <f t="shared" si="5"/>
        <v>42009.985999999997</v>
      </c>
    </row>
    <row r="38" spans="1:17" x14ac:dyDescent="0.2">
      <c r="C38" s="4"/>
      <c r="D38" s="4"/>
    </row>
    <row r="39" spans="1:17" x14ac:dyDescent="0.2">
      <c r="C39" s="4"/>
      <c r="D39" s="4"/>
    </row>
    <row r="40" spans="1:17" x14ac:dyDescent="0.2">
      <c r="C40" s="4"/>
      <c r="D40" s="4"/>
    </row>
    <row r="41" spans="1:17" x14ac:dyDescent="0.2">
      <c r="C41" s="4"/>
      <c r="D41" s="4"/>
    </row>
    <row r="42" spans="1:17" x14ac:dyDescent="0.2">
      <c r="C42" s="4"/>
      <c r="D42" s="4"/>
    </row>
    <row r="43" spans="1:17" x14ac:dyDescent="0.2">
      <c r="C43" s="4"/>
      <c r="D43" s="4"/>
    </row>
    <row r="44" spans="1:17" x14ac:dyDescent="0.2">
      <c r="C44" s="4"/>
      <c r="D44" s="4"/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5"/>
  <sheetViews>
    <sheetView topLeftCell="A4" workbookViewId="0">
      <selection activeCell="A16" sqref="A16:C27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2" t="s">
        <v>47</v>
      </c>
      <c r="I1" s="13" t="s">
        <v>48</v>
      </c>
      <c r="J1" s="14" t="s">
        <v>49</v>
      </c>
    </row>
    <row r="2" spans="1:16" x14ac:dyDescent="0.2">
      <c r="I2" s="15" t="s">
        <v>50</v>
      </c>
      <c r="J2" s="16" t="s">
        <v>51</v>
      </c>
    </row>
    <row r="3" spans="1:16" x14ac:dyDescent="0.2">
      <c r="A3" s="17" t="s">
        <v>52</v>
      </c>
      <c r="I3" s="15" t="s">
        <v>53</v>
      </c>
      <c r="J3" s="16" t="s">
        <v>54</v>
      </c>
    </row>
    <row r="4" spans="1:16" x14ac:dyDescent="0.2">
      <c r="I4" s="15" t="s">
        <v>55</v>
      </c>
      <c r="J4" s="16" t="s">
        <v>54</v>
      </c>
    </row>
    <row r="5" spans="1:16" ht="13.5" thickBot="1" x14ac:dyDescent="0.25">
      <c r="I5" s="18" t="s">
        <v>56</v>
      </c>
      <c r="J5" s="19" t="s">
        <v>57</v>
      </c>
    </row>
    <row r="10" spans="1:16" ht="13.5" thickBot="1" x14ac:dyDescent="0.25"/>
    <row r="11" spans="1:16" ht="12.75" customHeight="1" thickBot="1" x14ac:dyDescent="0.25">
      <c r="A11" s="4" t="str">
        <f t="shared" ref="A11:A27" si="0">P11</f>
        <v> AA 8.192 </v>
      </c>
      <c r="B11" s="3" t="str">
        <f t="shared" ref="B11:B27" si="1">IF(H11=INT(H11),"I","II")</f>
        <v>I</v>
      </c>
      <c r="C11" s="4">
        <f t="shared" ref="C11:C27" si="2">1*G11</f>
        <v>36128.660000000003</v>
      </c>
      <c r="D11" s="5" t="str">
        <f t="shared" ref="D11:D27" si="3">VLOOKUP(F11,I$1:J$5,2,FALSE)</f>
        <v>vis</v>
      </c>
      <c r="E11" s="20">
        <f>VLOOKUP(C11,Active!C$21:E$973,3,FALSE)</f>
        <v>0</v>
      </c>
      <c r="F11" s="3" t="s">
        <v>56</v>
      </c>
      <c r="G11" s="5" t="str">
        <f t="shared" ref="G11:G27" si="4">MID(I11,3,LEN(I11)-3)</f>
        <v>36128.66</v>
      </c>
      <c r="H11" s="4">
        <f t="shared" ref="H11:H27" si="5">1*K11</f>
        <v>0</v>
      </c>
      <c r="I11" s="21" t="s">
        <v>93</v>
      </c>
      <c r="J11" s="22" t="s">
        <v>94</v>
      </c>
      <c r="K11" s="21">
        <v>0</v>
      </c>
      <c r="L11" s="21" t="s">
        <v>95</v>
      </c>
      <c r="M11" s="22" t="s">
        <v>96</v>
      </c>
      <c r="N11" s="22"/>
      <c r="O11" s="23" t="s">
        <v>97</v>
      </c>
      <c r="P11" s="23" t="s">
        <v>98</v>
      </c>
    </row>
    <row r="12" spans="1:16" ht="12.75" customHeight="1" thickBot="1" x14ac:dyDescent="0.25">
      <c r="A12" s="4" t="str">
        <f t="shared" si="0"/>
        <v>OEJV 0155 </v>
      </c>
      <c r="B12" s="3" t="str">
        <f t="shared" si="1"/>
        <v>I</v>
      </c>
      <c r="C12" s="4">
        <f t="shared" si="2"/>
        <v>55985.332000000002</v>
      </c>
      <c r="D12" s="5" t="str">
        <f t="shared" si="3"/>
        <v>vis</v>
      </c>
      <c r="E12" s="20">
        <f>VLOOKUP(C12,Active!C$21:E$973,3,FALSE)</f>
        <v>513.93557905089745</v>
      </c>
      <c r="F12" s="3" t="s">
        <v>56</v>
      </c>
      <c r="G12" s="5" t="str">
        <f t="shared" si="4"/>
        <v>55985.3320</v>
      </c>
      <c r="H12" s="4">
        <f t="shared" si="5"/>
        <v>514</v>
      </c>
      <c r="I12" s="21" t="s">
        <v>104</v>
      </c>
      <c r="J12" s="22" t="s">
        <v>105</v>
      </c>
      <c r="K12" s="21">
        <v>514</v>
      </c>
      <c r="L12" s="21" t="s">
        <v>106</v>
      </c>
      <c r="M12" s="22" t="s">
        <v>107</v>
      </c>
      <c r="N12" s="22" t="s">
        <v>108</v>
      </c>
      <c r="O12" s="23" t="s">
        <v>109</v>
      </c>
      <c r="P12" s="24" t="s">
        <v>110</v>
      </c>
    </row>
    <row r="13" spans="1:16" ht="12.75" customHeight="1" thickBot="1" x14ac:dyDescent="0.25">
      <c r="A13" s="4" t="str">
        <f t="shared" si="0"/>
        <v>OEJV 0155 </v>
      </c>
      <c r="B13" s="3" t="str">
        <f t="shared" si="1"/>
        <v>I</v>
      </c>
      <c r="C13" s="4">
        <f t="shared" si="2"/>
        <v>56178.512000000002</v>
      </c>
      <c r="D13" s="5" t="str">
        <f t="shared" si="3"/>
        <v>vis</v>
      </c>
      <c r="E13" s="20">
        <f>VLOOKUP(C13,Active!C$21:E$973,3,FALSE)</f>
        <v>518.93551434524352</v>
      </c>
      <c r="F13" s="3" t="s">
        <v>56</v>
      </c>
      <c r="G13" s="5" t="str">
        <f t="shared" si="4"/>
        <v>56178.5120</v>
      </c>
      <c r="H13" s="4">
        <f t="shared" si="5"/>
        <v>519</v>
      </c>
      <c r="I13" s="21" t="s">
        <v>111</v>
      </c>
      <c r="J13" s="22" t="s">
        <v>112</v>
      </c>
      <c r="K13" s="21">
        <v>519</v>
      </c>
      <c r="L13" s="21" t="s">
        <v>113</v>
      </c>
      <c r="M13" s="22" t="s">
        <v>107</v>
      </c>
      <c r="N13" s="22" t="s">
        <v>108</v>
      </c>
      <c r="O13" s="23" t="s">
        <v>109</v>
      </c>
      <c r="P13" s="24" t="s">
        <v>110</v>
      </c>
    </row>
    <row r="14" spans="1:16" ht="12.75" customHeight="1" thickBot="1" x14ac:dyDescent="0.25">
      <c r="A14" s="4" t="str">
        <f t="shared" si="0"/>
        <v>OEJV 0172 </v>
      </c>
      <c r="B14" s="3" t="str">
        <f t="shared" si="1"/>
        <v>I</v>
      </c>
      <c r="C14" s="4">
        <f t="shared" si="2"/>
        <v>57028.415000000001</v>
      </c>
      <c r="D14" s="5" t="str">
        <f t="shared" si="3"/>
        <v>vis</v>
      </c>
      <c r="E14" s="20">
        <f>VLOOKUP(C14,Active!C$21:E$973,3,FALSE)</f>
        <v>540.9329261190843</v>
      </c>
      <c r="F14" s="3" t="s">
        <v>56</v>
      </c>
      <c r="G14" s="5" t="str">
        <f t="shared" si="4"/>
        <v>57028.415</v>
      </c>
      <c r="H14" s="4">
        <f t="shared" si="5"/>
        <v>541</v>
      </c>
      <c r="I14" s="21" t="s">
        <v>114</v>
      </c>
      <c r="J14" s="22" t="s">
        <v>115</v>
      </c>
      <c r="K14" s="21">
        <v>541</v>
      </c>
      <c r="L14" s="21" t="s">
        <v>116</v>
      </c>
      <c r="M14" s="22" t="s">
        <v>107</v>
      </c>
      <c r="N14" s="22" t="s">
        <v>44</v>
      </c>
      <c r="O14" s="23" t="s">
        <v>109</v>
      </c>
      <c r="P14" s="24" t="s">
        <v>117</v>
      </c>
    </row>
    <row r="15" spans="1:16" ht="12.75" customHeight="1" thickBot="1" x14ac:dyDescent="0.25">
      <c r="A15" s="4" t="str">
        <f t="shared" si="0"/>
        <v>OEJV 0172 </v>
      </c>
      <c r="B15" s="3" t="str">
        <f t="shared" si="1"/>
        <v>I</v>
      </c>
      <c r="C15" s="4">
        <f t="shared" si="2"/>
        <v>57028.485999999997</v>
      </c>
      <c r="D15" s="5" t="str">
        <f t="shared" si="3"/>
        <v>vis</v>
      </c>
      <c r="E15" s="20">
        <f>VLOOKUP(C15,Active!C$21:E$973,3,FALSE)</f>
        <v>540.93476375965713</v>
      </c>
      <c r="F15" s="3" t="s">
        <v>56</v>
      </c>
      <c r="G15" s="5" t="str">
        <f t="shared" si="4"/>
        <v>57028.486</v>
      </c>
      <c r="H15" s="4">
        <f t="shared" si="5"/>
        <v>541</v>
      </c>
      <c r="I15" s="21" t="s">
        <v>118</v>
      </c>
      <c r="J15" s="22" t="s">
        <v>119</v>
      </c>
      <c r="K15" s="21">
        <v>541</v>
      </c>
      <c r="L15" s="21" t="s">
        <v>120</v>
      </c>
      <c r="M15" s="22" t="s">
        <v>107</v>
      </c>
      <c r="N15" s="22" t="s">
        <v>56</v>
      </c>
      <c r="O15" s="23" t="s">
        <v>109</v>
      </c>
      <c r="P15" s="24" t="s">
        <v>117</v>
      </c>
    </row>
    <row r="16" spans="1:16" ht="12.75" customHeight="1" thickBot="1" x14ac:dyDescent="0.25">
      <c r="A16" s="4" t="str">
        <f t="shared" si="0"/>
        <v> VSS 1.74 </v>
      </c>
      <c r="B16" s="3" t="str">
        <f t="shared" si="1"/>
        <v>I</v>
      </c>
      <c r="C16" s="4">
        <f t="shared" si="2"/>
        <v>28016.42</v>
      </c>
      <c r="D16" s="5" t="str">
        <f t="shared" si="3"/>
        <v>vis</v>
      </c>
      <c r="E16" s="20">
        <f>VLOOKUP(C16,Active!C$21:E$973,3,FALSE)</f>
        <v>-209.96311777723153</v>
      </c>
      <c r="F16" s="3" t="s">
        <v>56</v>
      </c>
      <c r="G16" s="5" t="str">
        <f t="shared" si="4"/>
        <v>28016.42</v>
      </c>
      <c r="H16" s="4">
        <f t="shared" si="5"/>
        <v>-210</v>
      </c>
      <c r="I16" s="21" t="s">
        <v>58</v>
      </c>
      <c r="J16" s="22" t="s">
        <v>59</v>
      </c>
      <c r="K16" s="21">
        <v>-210</v>
      </c>
      <c r="L16" s="21" t="s">
        <v>60</v>
      </c>
      <c r="M16" s="22" t="s">
        <v>61</v>
      </c>
      <c r="N16" s="22"/>
      <c r="O16" s="23" t="s">
        <v>62</v>
      </c>
      <c r="P16" s="23" t="s">
        <v>63</v>
      </c>
    </row>
    <row r="17" spans="1:16" ht="12.75" customHeight="1" thickBot="1" x14ac:dyDescent="0.25">
      <c r="A17" s="4" t="str">
        <f t="shared" si="0"/>
        <v> VSS 1.74 </v>
      </c>
      <c r="B17" s="3" t="str">
        <f t="shared" si="1"/>
        <v>I</v>
      </c>
      <c r="C17" s="4">
        <f t="shared" si="2"/>
        <v>28247.55</v>
      </c>
      <c r="D17" s="5" t="str">
        <f t="shared" si="3"/>
        <v>vis</v>
      </c>
      <c r="E17" s="20">
        <f>VLOOKUP(C17,Active!C$21:E$973,3,FALSE)</f>
        <v>-203.9809506554684</v>
      </c>
      <c r="F17" s="3" t="s">
        <v>56</v>
      </c>
      <c r="G17" s="5" t="str">
        <f t="shared" si="4"/>
        <v>28247.55</v>
      </c>
      <c r="H17" s="4">
        <f t="shared" si="5"/>
        <v>-204</v>
      </c>
      <c r="I17" s="21" t="s">
        <v>64</v>
      </c>
      <c r="J17" s="22" t="s">
        <v>65</v>
      </c>
      <c r="K17" s="21">
        <v>-204</v>
      </c>
      <c r="L17" s="21" t="s">
        <v>66</v>
      </c>
      <c r="M17" s="22" t="s">
        <v>61</v>
      </c>
      <c r="N17" s="22"/>
      <c r="O17" s="23" t="s">
        <v>62</v>
      </c>
      <c r="P17" s="23" t="s">
        <v>63</v>
      </c>
    </row>
    <row r="18" spans="1:16" ht="12.75" customHeight="1" thickBot="1" x14ac:dyDescent="0.25">
      <c r="A18" s="4" t="str">
        <f t="shared" si="0"/>
        <v> VSS 1.74 </v>
      </c>
      <c r="B18" s="3" t="str">
        <f t="shared" si="1"/>
        <v>I</v>
      </c>
      <c r="C18" s="4">
        <f t="shared" si="2"/>
        <v>28865.43</v>
      </c>
      <c r="D18" s="5" t="str">
        <f t="shared" si="3"/>
        <v>vis</v>
      </c>
      <c r="E18" s="20">
        <f>VLOOKUP(C18,Active!C$21:E$973,3,FALSE)</f>
        <v>-187.98881886299233</v>
      </c>
      <c r="F18" s="3" t="s">
        <v>56</v>
      </c>
      <c r="G18" s="5" t="str">
        <f t="shared" si="4"/>
        <v>28865.43</v>
      </c>
      <c r="H18" s="4">
        <f t="shared" si="5"/>
        <v>-188</v>
      </c>
      <c r="I18" s="21" t="s">
        <v>67</v>
      </c>
      <c r="J18" s="22" t="s">
        <v>68</v>
      </c>
      <c r="K18" s="21">
        <v>-188</v>
      </c>
      <c r="L18" s="21" t="s">
        <v>69</v>
      </c>
      <c r="M18" s="22" t="s">
        <v>61</v>
      </c>
      <c r="N18" s="22"/>
      <c r="O18" s="23" t="s">
        <v>62</v>
      </c>
      <c r="P18" s="23" t="s">
        <v>63</v>
      </c>
    </row>
    <row r="19" spans="1:16" ht="12.75" customHeight="1" thickBot="1" x14ac:dyDescent="0.25">
      <c r="A19" s="4" t="str">
        <f t="shared" si="0"/>
        <v> VSS 1.74 </v>
      </c>
      <c r="B19" s="3" t="str">
        <f t="shared" si="1"/>
        <v>I</v>
      </c>
      <c r="C19" s="4">
        <f t="shared" si="2"/>
        <v>29250.68</v>
      </c>
      <c r="D19" s="5" t="str">
        <f t="shared" si="3"/>
        <v>vis</v>
      </c>
      <c r="E19" s="20">
        <f>VLOOKUP(C19,Active!C$21:E$973,3,FALSE)</f>
        <v>-178.01767758466744</v>
      </c>
      <c r="F19" s="3" t="s">
        <v>56</v>
      </c>
      <c r="G19" s="5" t="str">
        <f t="shared" si="4"/>
        <v>29250.68</v>
      </c>
      <c r="H19" s="4">
        <f t="shared" si="5"/>
        <v>-178</v>
      </c>
      <c r="I19" s="21" t="s">
        <v>70</v>
      </c>
      <c r="J19" s="22" t="s">
        <v>71</v>
      </c>
      <c r="K19" s="21">
        <v>-178</v>
      </c>
      <c r="L19" s="21" t="s">
        <v>72</v>
      </c>
      <c r="M19" s="22" t="s">
        <v>61</v>
      </c>
      <c r="N19" s="22"/>
      <c r="O19" s="23" t="s">
        <v>62</v>
      </c>
      <c r="P19" s="23" t="s">
        <v>63</v>
      </c>
    </row>
    <row r="20" spans="1:16" ht="12.75" customHeight="1" thickBot="1" x14ac:dyDescent="0.25">
      <c r="A20" s="4" t="str">
        <f t="shared" si="0"/>
        <v> VSS 1.74 </v>
      </c>
      <c r="B20" s="3" t="str">
        <f t="shared" si="1"/>
        <v>I</v>
      </c>
      <c r="C20" s="4">
        <f t="shared" si="2"/>
        <v>29289.35</v>
      </c>
      <c r="D20" s="5" t="str">
        <f t="shared" si="3"/>
        <v>vis</v>
      </c>
      <c r="E20" s="20">
        <f>VLOOKUP(C20,Active!C$21:E$973,3,FALSE)</f>
        <v>-177.01681052890416</v>
      </c>
      <c r="F20" s="3" t="s">
        <v>56</v>
      </c>
      <c r="G20" s="5" t="str">
        <f t="shared" si="4"/>
        <v>29289.35</v>
      </c>
      <c r="H20" s="4">
        <f t="shared" si="5"/>
        <v>-177</v>
      </c>
      <c r="I20" s="21" t="s">
        <v>73</v>
      </c>
      <c r="J20" s="22" t="s">
        <v>74</v>
      </c>
      <c r="K20" s="21">
        <v>-177</v>
      </c>
      <c r="L20" s="21" t="s">
        <v>75</v>
      </c>
      <c r="M20" s="22" t="s">
        <v>61</v>
      </c>
      <c r="N20" s="22"/>
      <c r="O20" s="23" t="s">
        <v>62</v>
      </c>
      <c r="P20" s="23" t="s">
        <v>63</v>
      </c>
    </row>
    <row r="21" spans="1:16" ht="12.75" customHeight="1" thickBot="1" x14ac:dyDescent="0.25">
      <c r="A21" s="4" t="str">
        <f t="shared" si="0"/>
        <v> VSS 1.74 </v>
      </c>
      <c r="B21" s="3" t="str">
        <f t="shared" si="1"/>
        <v>I</v>
      </c>
      <c r="C21" s="4">
        <f t="shared" si="2"/>
        <v>29638.400000000001</v>
      </c>
      <c r="D21" s="5" t="str">
        <f t="shared" si="3"/>
        <v>vis</v>
      </c>
      <c r="E21" s="20">
        <f>VLOOKUP(C21,Active!C$21:E$973,3,FALSE)</f>
        <v>-167.98260712021022</v>
      </c>
      <c r="F21" s="3" t="s">
        <v>56</v>
      </c>
      <c r="G21" s="5" t="str">
        <f t="shared" si="4"/>
        <v>29638.40</v>
      </c>
      <c r="H21" s="4">
        <f t="shared" si="5"/>
        <v>-168</v>
      </c>
      <c r="I21" s="21" t="s">
        <v>76</v>
      </c>
      <c r="J21" s="22" t="s">
        <v>77</v>
      </c>
      <c r="K21" s="21">
        <v>-168</v>
      </c>
      <c r="L21" s="21" t="s">
        <v>78</v>
      </c>
      <c r="M21" s="22" t="s">
        <v>61</v>
      </c>
      <c r="N21" s="22"/>
      <c r="O21" s="23" t="s">
        <v>62</v>
      </c>
      <c r="P21" s="23" t="s">
        <v>63</v>
      </c>
    </row>
    <row r="22" spans="1:16" ht="12.75" customHeight="1" thickBot="1" x14ac:dyDescent="0.25">
      <c r="A22" s="4" t="str">
        <f t="shared" si="0"/>
        <v> VSS 1.74 </v>
      </c>
      <c r="B22" s="3" t="str">
        <f t="shared" si="1"/>
        <v>I</v>
      </c>
      <c r="C22" s="4">
        <f t="shared" si="2"/>
        <v>29984.799999999999</v>
      </c>
      <c r="D22" s="5" t="str">
        <f t="shared" si="3"/>
        <v>vis</v>
      </c>
      <c r="E22" s="20">
        <f>VLOOKUP(C22,Active!C$21:E$973,3,FALSE)</f>
        <v>-159.01699170473529</v>
      </c>
      <c r="F22" s="3" t="s">
        <v>56</v>
      </c>
      <c r="G22" s="5" t="str">
        <f t="shared" si="4"/>
        <v>29984.80</v>
      </c>
      <c r="H22" s="4">
        <f t="shared" si="5"/>
        <v>-159</v>
      </c>
      <c r="I22" s="21" t="s">
        <v>79</v>
      </c>
      <c r="J22" s="22" t="s">
        <v>80</v>
      </c>
      <c r="K22" s="21">
        <v>-159</v>
      </c>
      <c r="L22" s="21" t="s">
        <v>81</v>
      </c>
      <c r="M22" s="22" t="s">
        <v>61</v>
      </c>
      <c r="N22" s="22"/>
      <c r="O22" s="23" t="s">
        <v>62</v>
      </c>
      <c r="P22" s="23" t="s">
        <v>63</v>
      </c>
    </row>
    <row r="23" spans="1:16" ht="12.75" customHeight="1" thickBot="1" x14ac:dyDescent="0.25">
      <c r="A23" s="4" t="str">
        <f t="shared" si="0"/>
        <v> VSS 1.74 </v>
      </c>
      <c r="B23" s="3" t="str">
        <f t="shared" si="1"/>
        <v>I</v>
      </c>
      <c r="C23" s="4">
        <f t="shared" si="2"/>
        <v>30023.84</v>
      </c>
      <c r="D23" s="5" t="str">
        <f t="shared" si="3"/>
        <v>vis</v>
      </c>
      <c r="E23" s="20">
        <f>VLOOKUP(C23,Active!C$21:E$973,3,FALSE)</f>
        <v>-158.00654821218288</v>
      </c>
      <c r="F23" s="3" t="s">
        <v>56</v>
      </c>
      <c r="G23" s="5" t="str">
        <f t="shared" si="4"/>
        <v>30023.84</v>
      </c>
      <c r="H23" s="4">
        <f t="shared" si="5"/>
        <v>-158</v>
      </c>
      <c r="I23" s="21" t="s">
        <v>82</v>
      </c>
      <c r="J23" s="22" t="s">
        <v>83</v>
      </c>
      <c r="K23" s="21">
        <v>-158</v>
      </c>
      <c r="L23" s="21" t="s">
        <v>84</v>
      </c>
      <c r="M23" s="22" t="s">
        <v>61</v>
      </c>
      <c r="N23" s="22"/>
      <c r="O23" s="23" t="s">
        <v>62</v>
      </c>
      <c r="P23" s="23" t="s">
        <v>63</v>
      </c>
    </row>
    <row r="24" spans="1:16" ht="12.75" customHeight="1" thickBot="1" x14ac:dyDescent="0.25">
      <c r="A24" s="4" t="str">
        <f t="shared" si="0"/>
        <v> VSS 1.74 </v>
      </c>
      <c r="B24" s="3" t="str">
        <f t="shared" si="1"/>
        <v>I</v>
      </c>
      <c r="C24" s="4">
        <f t="shared" si="2"/>
        <v>30372.27</v>
      </c>
      <c r="D24" s="5" t="str">
        <f t="shared" si="3"/>
        <v>vis</v>
      </c>
      <c r="E24" s="20">
        <f>VLOOKUP(C24,Active!C$21:E$973,3,FALSE)</f>
        <v>-148.98839180567606</v>
      </c>
      <c r="F24" s="3" t="s">
        <v>56</v>
      </c>
      <c r="G24" s="5" t="str">
        <f t="shared" si="4"/>
        <v>30372.27</v>
      </c>
      <c r="H24" s="4">
        <f t="shared" si="5"/>
        <v>-149</v>
      </c>
      <c r="I24" s="21" t="s">
        <v>85</v>
      </c>
      <c r="J24" s="22" t="s">
        <v>86</v>
      </c>
      <c r="K24" s="21">
        <v>-149</v>
      </c>
      <c r="L24" s="21" t="s">
        <v>87</v>
      </c>
      <c r="M24" s="22" t="s">
        <v>61</v>
      </c>
      <c r="N24" s="22"/>
      <c r="O24" s="23" t="s">
        <v>62</v>
      </c>
      <c r="P24" s="23" t="s">
        <v>63</v>
      </c>
    </row>
    <row r="25" spans="1:16" ht="12.75" customHeight="1" thickBot="1" x14ac:dyDescent="0.25">
      <c r="A25" s="4" t="str">
        <f t="shared" si="0"/>
        <v> VSS 1.74 </v>
      </c>
      <c r="B25" s="3" t="str">
        <f t="shared" si="1"/>
        <v>I</v>
      </c>
      <c r="C25" s="4">
        <f t="shared" si="2"/>
        <v>30409.66</v>
      </c>
      <c r="D25" s="5" t="str">
        <f t="shared" si="3"/>
        <v>vis</v>
      </c>
      <c r="E25" s="20">
        <f>VLOOKUP(C25,Active!C$21:E$973,3,FALSE)</f>
        <v>-148.02065404475053</v>
      </c>
      <c r="F25" s="3" t="s">
        <v>56</v>
      </c>
      <c r="G25" s="5" t="str">
        <f t="shared" si="4"/>
        <v>30409.66</v>
      </c>
      <c r="H25" s="4">
        <f t="shared" si="5"/>
        <v>-148</v>
      </c>
      <c r="I25" s="21" t="s">
        <v>88</v>
      </c>
      <c r="J25" s="22" t="s">
        <v>89</v>
      </c>
      <c r="K25" s="21">
        <v>-148</v>
      </c>
      <c r="L25" s="21" t="s">
        <v>90</v>
      </c>
      <c r="M25" s="22" t="s">
        <v>61</v>
      </c>
      <c r="N25" s="22"/>
      <c r="O25" s="23" t="s">
        <v>62</v>
      </c>
      <c r="P25" s="23" t="s">
        <v>63</v>
      </c>
    </row>
    <row r="26" spans="1:16" ht="12.75" customHeight="1" thickBot="1" x14ac:dyDescent="0.25">
      <c r="A26" s="4" t="str">
        <f t="shared" si="0"/>
        <v> VSS 1.74 </v>
      </c>
      <c r="B26" s="3" t="str">
        <f t="shared" si="1"/>
        <v>I</v>
      </c>
      <c r="C26" s="4">
        <f t="shared" si="2"/>
        <v>30991.43</v>
      </c>
      <c r="D26" s="5" t="str">
        <f t="shared" si="3"/>
        <v>vis</v>
      </c>
      <c r="E26" s="20">
        <f>VLOOKUP(C26,Active!C$21:E$973,3,FALSE)</f>
        <v>-132.96313071836227</v>
      </c>
      <c r="F26" s="3" t="s">
        <v>56</v>
      </c>
      <c r="G26" s="5" t="str">
        <f t="shared" si="4"/>
        <v>30991.43</v>
      </c>
      <c r="H26" s="4">
        <f t="shared" si="5"/>
        <v>-133</v>
      </c>
      <c r="I26" s="21" t="s">
        <v>91</v>
      </c>
      <c r="J26" s="22" t="s">
        <v>92</v>
      </c>
      <c r="K26" s="21">
        <v>-133</v>
      </c>
      <c r="L26" s="21" t="s">
        <v>60</v>
      </c>
      <c r="M26" s="22" t="s">
        <v>61</v>
      </c>
      <c r="N26" s="22"/>
      <c r="O26" s="23" t="s">
        <v>62</v>
      </c>
      <c r="P26" s="23" t="s">
        <v>63</v>
      </c>
    </row>
    <row r="27" spans="1:16" ht="12.75" customHeight="1" thickBot="1" x14ac:dyDescent="0.25">
      <c r="A27" s="4" t="str">
        <f t="shared" si="0"/>
        <v> HABZ 89 </v>
      </c>
      <c r="B27" s="3" t="str">
        <f t="shared" si="1"/>
        <v>I</v>
      </c>
      <c r="C27" s="4">
        <f t="shared" si="2"/>
        <v>39026.43</v>
      </c>
      <c r="D27" s="5" t="str">
        <f t="shared" si="3"/>
        <v>vis</v>
      </c>
      <c r="E27" s="20">
        <f>VLOOKUP(C27,Active!C$21:E$973,3,FALSE)</f>
        <v>75.000841173501655</v>
      </c>
      <c r="F27" s="3" t="s">
        <v>56</v>
      </c>
      <c r="G27" s="5" t="str">
        <f t="shared" si="4"/>
        <v>39026.43</v>
      </c>
      <c r="H27" s="4">
        <f t="shared" si="5"/>
        <v>75</v>
      </c>
      <c r="I27" s="21" t="s">
        <v>99</v>
      </c>
      <c r="J27" s="22" t="s">
        <v>100</v>
      </c>
      <c r="K27" s="21">
        <v>75</v>
      </c>
      <c r="L27" s="21" t="s">
        <v>101</v>
      </c>
      <c r="M27" s="22" t="s">
        <v>61</v>
      </c>
      <c r="N27" s="22"/>
      <c r="O27" s="23" t="s">
        <v>102</v>
      </c>
      <c r="P27" s="23" t="s">
        <v>103</v>
      </c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</sheetData>
  <phoneticPr fontId="7" type="noConversion"/>
  <hyperlinks>
    <hyperlink ref="P12" r:id="rId1" display="http://var.astro.cz/oejv/issues/oejv0155.pdf"/>
    <hyperlink ref="P13" r:id="rId2" display="http://var.astro.cz/oejv/issues/oejv0155.pdf"/>
    <hyperlink ref="P14" r:id="rId3" display="http://var.astro.cz/oejv/issues/oejv0172.pdf"/>
    <hyperlink ref="P15" r:id="rId4" display="http://var.astro.cz/oejv/issues/oejv0172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2024-03-03T03:42:34Z</dcterms:modified>
</cp:coreProperties>
</file>