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95AC77-DAC1-40B4-9B51-6BA41999EF7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E33" i="1"/>
  <c r="F33" i="1"/>
  <c r="G33" i="1"/>
  <c r="E34" i="1"/>
  <c r="F34" i="1"/>
  <c r="G34" i="1"/>
  <c r="E35" i="1"/>
  <c r="F35" i="1"/>
  <c r="G35" i="1"/>
  <c r="C13" i="1"/>
  <c r="Q32" i="1"/>
  <c r="Q33" i="1"/>
  <c r="Q34" i="1"/>
  <c r="Q35" i="1"/>
  <c r="E31" i="1"/>
  <c r="F31" i="1"/>
  <c r="G31" i="1"/>
  <c r="S31" i="1"/>
  <c r="E30" i="1"/>
  <c r="F30" i="1"/>
  <c r="G30" i="1"/>
  <c r="C14" i="1"/>
  <c r="E21" i="1"/>
  <c r="F21" i="1"/>
  <c r="G21" i="1"/>
  <c r="E23" i="1"/>
  <c r="F23" i="1"/>
  <c r="G23" i="1"/>
  <c r="E25" i="1"/>
  <c r="F25" i="1"/>
  <c r="G25" i="1"/>
  <c r="E28" i="1"/>
  <c r="F28" i="1"/>
  <c r="G28" i="1"/>
  <c r="E29" i="1"/>
  <c r="F29" i="1"/>
  <c r="G29" i="1"/>
  <c r="E22" i="1"/>
  <c r="F22" i="1"/>
  <c r="E24" i="1"/>
  <c r="F24" i="1"/>
  <c r="G24" i="1"/>
  <c r="E26" i="1"/>
  <c r="F26" i="1"/>
  <c r="G26" i="1"/>
  <c r="E27" i="1"/>
  <c r="F27" i="1"/>
  <c r="D14" i="1"/>
  <c r="D13" i="1"/>
  <c r="G22" i="1"/>
  <c r="S22" i="1"/>
  <c r="G27" i="1"/>
  <c r="S27" i="1"/>
  <c r="Q31" i="1"/>
  <c r="Q30" i="1"/>
  <c r="H22" i="1"/>
  <c r="Q22" i="1"/>
  <c r="Q23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9" i="2"/>
  <c r="C19" i="2"/>
  <c r="E19" i="2"/>
  <c r="G18" i="2"/>
  <c r="C18" i="2"/>
  <c r="E18" i="2"/>
  <c r="G11" i="2"/>
  <c r="C11" i="2"/>
  <c r="E11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9" i="2"/>
  <c r="B19" i="2"/>
  <c r="D19" i="2"/>
  <c r="A19" i="2"/>
  <c r="H18" i="2"/>
  <c r="B18" i="2"/>
  <c r="D18" i="2"/>
  <c r="A18" i="2"/>
  <c r="H11" i="2"/>
  <c r="B11" i="2"/>
  <c r="D11" i="2"/>
  <c r="A11" i="2"/>
  <c r="Q24" i="1"/>
  <c r="Q25" i="1"/>
  <c r="Q26" i="1"/>
  <c r="J27" i="1"/>
  <c r="Q27" i="1"/>
  <c r="Q28" i="1"/>
  <c r="Q29" i="1"/>
  <c r="F12" i="1"/>
  <c r="F13" i="1" s="1"/>
  <c r="C17" i="1"/>
  <c r="Q21" i="1"/>
  <c r="R29" i="1"/>
  <c r="J29" i="1"/>
  <c r="J30" i="1"/>
  <c r="R30" i="1"/>
  <c r="J28" i="1"/>
  <c r="R28" i="1"/>
  <c r="J35" i="1"/>
  <c r="R35" i="1"/>
  <c r="S26" i="1"/>
  <c r="J26" i="1"/>
  <c r="J25" i="1"/>
  <c r="R25" i="1"/>
  <c r="S34" i="1"/>
  <c r="J34" i="1"/>
  <c r="S24" i="1"/>
  <c r="J24" i="1"/>
  <c r="H23" i="1"/>
  <c r="R23" i="1"/>
  <c r="R33" i="1"/>
  <c r="J33" i="1"/>
  <c r="R21" i="1"/>
  <c r="H21" i="1"/>
  <c r="J32" i="1"/>
  <c r="S32" i="1"/>
  <c r="J31" i="1"/>
  <c r="R19" i="1"/>
  <c r="E18" i="1"/>
  <c r="S19" i="1"/>
  <c r="E19" i="1"/>
  <c r="D11" i="1"/>
  <c r="D12" i="1"/>
  <c r="C12" i="1"/>
  <c r="C11" i="1"/>
  <c r="O30" i="1" l="1"/>
  <c r="C15" i="1"/>
  <c r="O21" i="1"/>
  <c r="O32" i="1"/>
  <c r="O24" i="1"/>
  <c r="O22" i="1"/>
  <c r="O23" i="1"/>
  <c r="O28" i="1"/>
  <c r="O34" i="1"/>
  <c r="O27" i="1"/>
  <c r="O35" i="1"/>
  <c r="O29" i="1"/>
  <c r="O31" i="1"/>
  <c r="O25" i="1"/>
  <c r="O33" i="1"/>
  <c r="O26" i="1"/>
  <c r="C16" i="1"/>
  <c r="D18" i="1" s="1"/>
  <c r="D16" i="1"/>
  <c r="D19" i="1" s="1"/>
  <c r="D15" i="1"/>
  <c r="C19" i="1" s="1"/>
  <c r="P26" i="1"/>
  <c r="P30" i="1"/>
  <c r="P31" i="1"/>
  <c r="P23" i="1"/>
  <c r="P22" i="1"/>
  <c r="P21" i="1"/>
  <c r="P32" i="1"/>
  <c r="P34" i="1"/>
  <c r="P27" i="1"/>
  <c r="P35" i="1"/>
  <c r="P29" i="1"/>
  <c r="P24" i="1"/>
  <c r="P25" i="1"/>
  <c r="P33" i="1"/>
  <c r="P28" i="1"/>
  <c r="F14" i="1" l="1"/>
  <c r="F15" i="1" s="1"/>
  <c r="C18" i="1"/>
</calcChain>
</file>

<file path=xl/sharedStrings.xml><?xml version="1.0" encoding="utf-8"?>
<sst xmlns="http://schemas.openxmlformats.org/spreadsheetml/2006/main" count="163" uniqueCount="91">
  <si>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</si>
  <si>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</si>
  <si>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</si>
  <si>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</si>
  <si>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</si>
  <si>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</si>
  <si>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</si>
  <si>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</si>
  <si>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</si>
  <si>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</si>
  <si>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</si>
  <si>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</si>
  <si>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</si>
  <si>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</si>
  <si>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</si>
  <si>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</si>
  <si>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</si>
  <si>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</si>
  <si>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</si>
  <si>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</si>
  <si>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</si>
  <si>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</si>
  <si>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</si>
  <si>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</si>
  <si>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</si>
  <si>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</si>
  <si>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</si>
  <si>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</si>
  <si>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</si>
  <si>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</si>
  <si>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</si>
  <si>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</si>
  <si>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</si>
  <si>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</si>
  <si>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</si>
  <si>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</si>
  <si>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</si>
  <si>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</si>
  <si>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</si>
  <si>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</si>
  <si>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</si>
  <si>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CR Per / GSC 3693-0294</t>
  </si>
  <si>
    <t>EA</t>
  </si>
  <si>
    <t>GCVS</t>
  </si>
  <si>
    <t>VSX</t>
  </si>
  <si>
    <t>OEJV 0172</t>
  </si>
  <si>
    <t>I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</si>
  <si>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</si>
  <si>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</si>
  <si>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</si>
  <si>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</si>
  <si>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</si>
  <si>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</si>
  <si>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</si>
  <si>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</si>
  <si>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</si>
  <si>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</si>
  <si>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</si>
  <si>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</si>
  <si>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2428069.57 </t>
  </si>
  <si>
    <t> 24.09.1935 01:40 </t>
  </si>
  <si>
    <t> 0.00 </t>
  </si>
  <si>
    <t>P </t>
  </si>
  <si>
    <t> C.Hoffmeister </t>
  </si>
  <si>
    <t> VSS 1.77 </t>
  </si>
  <si>
    <t>2429634.62 </t>
  </si>
  <si>
    <t> 06.01.1940 02:52 </t>
  </si>
  <si>
    <t> 0.06 </t>
  </si>
  <si>
    <t>2430201.52 </t>
  </si>
  <si>
    <t> 26.07.1941 00:28 </t>
  </si>
  <si>
    <t> -0.06 </t>
  </si>
  <si>
    <t>2453667.449 </t>
  </si>
  <si>
    <t> 23.10.2005 22:46 </t>
  </si>
  <si>
    <t> 2.371 </t>
  </si>
  <si>
    <t>C </t>
  </si>
  <si>
    <t> A.Paschke </t>
  </si>
  <si>
    <t>OEJV 0172 </t>
  </si>
  <si>
    <t>2453670.586 </t>
  </si>
  <si>
    <t> 27.10.2005 02:03 </t>
  </si>
  <si>
    <t> 5.508 </t>
  </si>
  <si>
    <t>2456310.363 </t>
  </si>
  <si>
    <t> 17.01.2013 20:42 </t>
  </si>
  <si>
    <t> 2.948 </t>
  </si>
  <si>
    <t>2456313.502 </t>
  </si>
  <si>
    <t> 21.01.2013 00:02 </t>
  </si>
  <si>
    <t> 6.087 </t>
  </si>
  <si>
    <t>2456313.509 </t>
  </si>
  <si>
    <t> 21.01.2013 00:12 </t>
  </si>
  <si>
    <t> 6.094 </t>
  </si>
  <si>
    <t>VSB 060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</si>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</sst>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vertical="center"/>
    </xf>
    <xf numFmtId="0" fontId="17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Fill="1" applyBorder="1" applyAlignment="1" applyProtection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Per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1'!$D$21:$D$486</c:f>
                <c:numCache>
                  <c:formatCode>General</c:formatCode>
                  <c:ptCount val="466"/>
                  <c:pt idx="0">
                    <c:v>0</c:v>
                  </c:pt>
                  <c:pt idx="3">
                    <c:v>8.0000000000000002E-3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1'!$D$21:$D$486</c:f>
                <c:numCache>
                  <c:formatCode>General</c:formatCode>
                  <c:ptCount val="466"/>
                  <c:pt idx="0">
                    <c:v>0</c:v>
                  </c:pt>
                  <c:pt idx="3">
                    <c:v>8.0000000000000002E-3</c:v>
                  </c:pt>
                  <c:pt idx="4">
                    <c:v>0.01</c:v>
                  </c:pt>
                  <c:pt idx="5">
                    <c:v>0.01</c:v>
                  </c:pt>
                  <c:pt idx="6">
                    <c:v>0.01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1'!$H$21:$H$913</c:f>
              <c:numCache>
                <c:formatCode>General</c:formatCode>
                <c:ptCount val="893"/>
                <c:pt idx="0">
                  <c:v>0</c:v>
                </c:pt>
                <c:pt idx="1">
                  <c:v>1.3282499999986612</c:v>
                </c:pt>
                <c:pt idx="2">
                  <c:v>2.599999999802094E-3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93-4636-B702-BAD204CE0BD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1'!$I$21:$I$913</c:f>
              <c:numCache>
                <c:formatCode>General</c:formatCode>
                <c:ptCount val="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93-4636-B702-BAD204CE0BD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1'!$J$21:$J$913</c:f>
              <c:numCache>
                <c:formatCode>General</c:formatCode>
                <c:ptCount val="893"/>
                <c:pt idx="3">
                  <c:v>1.2956500000072992</c:v>
                </c:pt>
                <c:pt idx="4">
                  <c:v>2.7800000003480818E-2</c:v>
                </c:pt>
                <c:pt idx="5">
                  <c:v>1.2996500000008382</c:v>
                </c:pt>
                <c:pt idx="6">
                  <c:v>1.2996500000008382</c:v>
                </c:pt>
                <c:pt idx="7">
                  <c:v>3.3799999997427221E-2</c:v>
                </c:pt>
                <c:pt idx="8">
                  <c:v>4.079999999521533E-2</c:v>
                </c:pt>
                <c:pt idx="9">
                  <c:v>3.500000000349246E-2</c:v>
                </c:pt>
                <c:pt idx="10">
                  <c:v>1.3044500000032713</c:v>
                </c:pt>
                <c:pt idx="11">
                  <c:v>1.3049500000051921</c:v>
                </c:pt>
                <c:pt idx="12">
                  <c:v>3.530000000318978E-2</c:v>
                </c:pt>
                <c:pt idx="13">
                  <c:v>1.3037499999991269</c:v>
                </c:pt>
                <c:pt idx="14">
                  <c:v>3.4700000003795139E-2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93-4636-B702-BAD204CE0BD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1'!$K$21:$K$913</c:f>
              <c:numCache>
                <c:formatCode>General</c:formatCode>
                <c:ptCount val="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93-4636-B702-BAD204CE0BD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1'!$L$21:$L$913</c:f>
              <c:numCache>
                <c:formatCode>General</c:formatCode>
                <c:ptCount val="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93-4636-B702-BAD204CE0BD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1'!$M$21:$M$913</c:f>
              <c:numCache>
                <c:formatCode>General</c:formatCode>
                <c:ptCount val="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93-4636-B702-BAD204CE0BD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1'!$N$21:$N$913</c:f>
              <c:numCache>
                <c:formatCode>General</c:formatCode>
                <c:ptCount val="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93-4636-B702-BAD204CE0BD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1'!$O$21:$O$913</c:f>
              <c:numCache>
                <c:formatCode>General</c:formatCode>
                <c:ptCount val="893"/>
                <c:pt idx="0">
                  <c:v>-1.4765977576996006E-4</c:v>
                </c:pt>
                <c:pt idx="1">
                  <c:v>1.7767037378975715E-3</c:v>
                </c:pt>
                <c:pt idx="2">
                  <c:v>2.4759794935683083E-3</c:v>
                </c:pt>
                <c:pt idx="3">
                  <c:v>3.135227368316533E-2</c:v>
                </c:pt>
                <c:pt idx="4">
                  <c:v>3.1357694425457341E-2</c:v>
                </c:pt>
                <c:pt idx="5">
                  <c:v>3.4604719058378058E-2</c:v>
                </c:pt>
                <c:pt idx="6">
                  <c:v>3.4604719058378058E-2</c:v>
                </c:pt>
                <c:pt idx="7">
                  <c:v>3.461013980067007E-2</c:v>
                </c:pt>
                <c:pt idx="8">
                  <c:v>3.461013980067007E-2</c:v>
                </c:pt>
                <c:pt idx="9">
                  <c:v>3.5585873413233896E-2</c:v>
                </c:pt>
                <c:pt idx="10">
                  <c:v>3.5569611186357833E-2</c:v>
                </c:pt>
                <c:pt idx="11">
                  <c:v>3.5569611186357833E-2</c:v>
                </c:pt>
                <c:pt idx="12">
                  <c:v>3.5585873413233896E-2</c:v>
                </c:pt>
                <c:pt idx="13">
                  <c:v>3.5916538693047187E-2</c:v>
                </c:pt>
                <c:pt idx="14">
                  <c:v>3.5921959435339212E-2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93-4636-B702-BAD204CE0BD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1'!$P$21:$P$913</c:f>
              <c:numCache>
                <c:formatCode>General</c:formatCode>
                <c:ptCount val="893"/>
                <c:pt idx="0">
                  <c:v>1.3285525299332859</c:v>
                </c:pt>
                <c:pt idx="1">
                  <c:v>1.3270571594477296</c:v>
                </c:pt>
                <c:pt idx="2">
                  <c:v>1.326513771299457</c:v>
                </c:pt>
                <c:pt idx="3">
                  <c:v>1.3040747893936588</c:v>
                </c:pt>
                <c:pt idx="4">
                  <c:v>1.3040705770824319</c:v>
                </c:pt>
                <c:pt idx="5">
                  <c:v>1.3015474026575073</c:v>
                </c:pt>
                <c:pt idx="6">
                  <c:v>1.3015474026575073</c:v>
                </c:pt>
                <c:pt idx="7">
                  <c:v>1.3015431903462804</c:v>
                </c:pt>
                <c:pt idx="8">
                  <c:v>1.3015431903462804</c:v>
                </c:pt>
                <c:pt idx="9">
                  <c:v>1.3007849743254349</c:v>
                </c:pt>
                <c:pt idx="10">
                  <c:v>1.3007976112591157</c:v>
                </c:pt>
                <c:pt idx="11">
                  <c:v>1.3007976112591157</c:v>
                </c:pt>
                <c:pt idx="12">
                  <c:v>1.3007849743254349</c:v>
                </c:pt>
                <c:pt idx="13">
                  <c:v>1.3005280233405929</c:v>
                </c:pt>
                <c:pt idx="14">
                  <c:v>1.300523811029366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93-4636-B702-BAD204CE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7328"/>
        <c:axId val="1"/>
      </c:scatterChart>
      <c:valAx>
        <c:axId val="92820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80645161290321"/>
          <c:y val="0.92097264437689974"/>
          <c:w val="0.8338709677419355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Per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467852078039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1'!$R$21:$R$913</c:f>
              <c:numCache>
                <c:formatCode>General</c:formatCode>
                <c:ptCount val="893"/>
                <c:pt idx="0">
                  <c:v>0</c:v>
                </c:pt>
                <c:pt idx="2">
                  <c:v>2.599999999802094E-3</c:v>
                </c:pt>
                <c:pt idx="4">
                  <c:v>2.7800000003480818E-2</c:v>
                </c:pt>
                <c:pt idx="7">
                  <c:v>3.3799999997427221E-2</c:v>
                </c:pt>
                <c:pt idx="8">
                  <c:v>4.079999999521533E-2</c:v>
                </c:pt>
                <c:pt idx="9">
                  <c:v>3.500000000349246E-2</c:v>
                </c:pt>
                <c:pt idx="12">
                  <c:v>3.530000000318978E-2</c:v>
                </c:pt>
                <c:pt idx="14">
                  <c:v>3.4700000003795139E-2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81-42DC-A6F0-57D3C8E760A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1'!$O$21:$O$913</c:f>
              <c:numCache>
                <c:formatCode>General</c:formatCode>
                <c:ptCount val="893"/>
                <c:pt idx="0">
                  <c:v>-1.4765977576996006E-4</c:v>
                </c:pt>
                <c:pt idx="1">
                  <c:v>1.7767037378975715E-3</c:v>
                </c:pt>
                <c:pt idx="2">
                  <c:v>2.4759794935683083E-3</c:v>
                </c:pt>
                <c:pt idx="3">
                  <c:v>3.135227368316533E-2</c:v>
                </c:pt>
                <c:pt idx="4">
                  <c:v>3.1357694425457341E-2</c:v>
                </c:pt>
                <c:pt idx="5">
                  <c:v>3.4604719058378058E-2</c:v>
                </c:pt>
                <c:pt idx="6">
                  <c:v>3.4604719058378058E-2</c:v>
                </c:pt>
                <c:pt idx="7">
                  <c:v>3.461013980067007E-2</c:v>
                </c:pt>
                <c:pt idx="8">
                  <c:v>3.461013980067007E-2</c:v>
                </c:pt>
                <c:pt idx="9">
                  <c:v>3.5585873413233896E-2</c:v>
                </c:pt>
                <c:pt idx="10">
                  <c:v>3.5569611186357833E-2</c:v>
                </c:pt>
                <c:pt idx="11">
                  <c:v>3.5569611186357833E-2</c:v>
                </c:pt>
                <c:pt idx="12">
                  <c:v>3.5585873413233896E-2</c:v>
                </c:pt>
                <c:pt idx="13">
                  <c:v>3.5916538693047187E-2</c:v>
                </c:pt>
                <c:pt idx="14">
                  <c:v>3.5921959435339212E-2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81-42DC-A6F0-57D3C8E76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97968"/>
        <c:axId val="1"/>
      </c:scatterChart>
      <c:valAx>
        <c:axId val="92819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303970839403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9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80085233628539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Per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1'!$S$21:$S$913</c:f>
              <c:numCache>
                <c:formatCode>General</c:formatCode>
                <c:ptCount val="893"/>
                <c:pt idx="1">
                  <c:v>1.3282499999986612</c:v>
                </c:pt>
                <c:pt idx="3">
                  <c:v>1.2956500000072992</c:v>
                </c:pt>
                <c:pt idx="5">
                  <c:v>1.2996500000008382</c:v>
                </c:pt>
                <c:pt idx="6">
                  <c:v>1.2996500000008382</c:v>
                </c:pt>
                <c:pt idx="10">
                  <c:v>1.3044500000032713</c:v>
                </c:pt>
                <c:pt idx="11">
                  <c:v>1.3049500000051921</c:v>
                </c:pt>
                <c:pt idx="13">
                  <c:v>1.3037499999991269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3-455C-A6FF-D93E73F3A26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177.5</c:v>
                </c:pt>
                <c:pt idx="2">
                  <c:v>242</c:v>
                </c:pt>
                <c:pt idx="3">
                  <c:v>2905.5</c:v>
                </c:pt>
                <c:pt idx="4">
                  <c:v>2906</c:v>
                </c:pt>
                <c:pt idx="5">
                  <c:v>3205.5</c:v>
                </c:pt>
                <c:pt idx="6">
                  <c:v>3205.5</c:v>
                </c:pt>
                <c:pt idx="7">
                  <c:v>3206</c:v>
                </c:pt>
                <c:pt idx="8">
                  <c:v>3206</c:v>
                </c:pt>
                <c:pt idx="9">
                  <c:v>3296</c:v>
                </c:pt>
                <c:pt idx="10">
                  <c:v>3294.5</c:v>
                </c:pt>
                <c:pt idx="11">
                  <c:v>3294.5</c:v>
                </c:pt>
                <c:pt idx="12">
                  <c:v>3296</c:v>
                </c:pt>
                <c:pt idx="13">
                  <c:v>3326.5</c:v>
                </c:pt>
                <c:pt idx="14">
                  <c:v>3327</c:v>
                </c:pt>
              </c:numCache>
            </c:numRef>
          </c:xVal>
          <c:yVal>
            <c:numRef>
              <c:f>'Active 1'!$P$21:$P$913</c:f>
              <c:numCache>
                <c:formatCode>General</c:formatCode>
                <c:ptCount val="893"/>
                <c:pt idx="0">
                  <c:v>1.3285525299332859</c:v>
                </c:pt>
                <c:pt idx="1">
                  <c:v>1.3270571594477296</c:v>
                </c:pt>
                <c:pt idx="2">
                  <c:v>1.326513771299457</c:v>
                </c:pt>
                <c:pt idx="3">
                  <c:v>1.3040747893936588</c:v>
                </c:pt>
                <c:pt idx="4">
                  <c:v>1.3040705770824319</c:v>
                </c:pt>
                <c:pt idx="5">
                  <c:v>1.3015474026575073</c:v>
                </c:pt>
                <c:pt idx="6">
                  <c:v>1.3015474026575073</c:v>
                </c:pt>
                <c:pt idx="7">
                  <c:v>1.3015431903462804</c:v>
                </c:pt>
                <c:pt idx="8">
                  <c:v>1.3015431903462804</c:v>
                </c:pt>
                <c:pt idx="9">
                  <c:v>1.3007849743254349</c:v>
                </c:pt>
                <c:pt idx="10">
                  <c:v>1.3007976112591157</c:v>
                </c:pt>
                <c:pt idx="11">
                  <c:v>1.3007976112591157</c:v>
                </c:pt>
                <c:pt idx="12">
                  <c:v>1.3007849743254349</c:v>
                </c:pt>
                <c:pt idx="13">
                  <c:v>1.3005280233405929</c:v>
                </c:pt>
                <c:pt idx="14">
                  <c:v>1.300523811029366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3-455C-A6FF-D93E73F3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71256"/>
        <c:axId val="1"/>
      </c:scatterChart>
      <c:valAx>
        <c:axId val="77787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7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247650</xdr:colOff>
      <xdr:row>19</xdr:row>
      <xdr:rowOff>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64FFBE3-4297-08D5-D91B-1598CB8E7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20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0EEE08-695B-6C91-3E22-DE28C82BA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133350</xdr:rowOff>
    </xdr:from>
    <xdr:to>
      <xdr:col>11</xdr:col>
      <xdr:colOff>438150</xdr:colOff>
      <xdr:row>40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B289744-BC8F-B9F0-4DE3-C3E2743B9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var.astro.cz/oejv/issues/oejv0172.pdf" TargetMode="External"/><Relationship Id="rId6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s="30" customFormat="1" ht="12.95" customHeight="1" x14ac:dyDescent="0.2">
      <c r="A2" s="30" t="s">
        <v>17</v>
      </c>
      <c r="B2" s="30" t="s">
        <v>42</v>
      </c>
      <c r="C2" s="31"/>
      <c r="D2" s="32"/>
    </row>
    <row r="3" spans="1:6" s="30" customFormat="1" ht="12.95" customHeight="1" thickBot="1" x14ac:dyDescent="0.25"/>
    <row r="4" spans="1:6" s="30" customFormat="1" ht="12.95" customHeight="1" thickTop="1" thickBot="1" x14ac:dyDescent="0.25">
      <c r="A4" s="33" t="s">
        <v>0</v>
      </c>
      <c r="C4" s="34">
        <v>28069.57</v>
      </c>
      <c r="D4" s="35">
        <v>22.681000000000001</v>
      </c>
    </row>
    <row r="5" spans="1:6" s="30" customFormat="1" ht="12.95" customHeight="1" thickTop="1" x14ac:dyDescent="0.2">
      <c r="A5" s="36" t="s">
        <v>33</v>
      </c>
      <c r="C5" s="37">
        <v>-9.5</v>
      </c>
      <c r="D5" s="30" t="s">
        <v>34</v>
      </c>
      <c r="E5" s="30">
        <v>0.01</v>
      </c>
    </row>
    <row r="6" spans="1:6" s="30" customFormat="1" ht="12.95" customHeight="1" x14ac:dyDescent="0.2">
      <c r="A6" s="33" t="s">
        <v>1</v>
      </c>
    </row>
    <row r="7" spans="1:6" s="30" customFormat="1" ht="12.95" customHeight="1" x14ac:dyDescent="0.2">
      <c r="A7" s="30" t="s">
        <v>2</v>
      </c>
      <c r="C7" s="38">
        <v>28069.57</v>
      </c>
      <c r="D7" s="39" t="s">
        <v>43</v>
      </c>
    </row>
    <row r="8" spans="1:6" s="30" customFormat="1" ht="12.95" customHeight="1" x14ac:dyDescent="0.2">
      <c r="A8" s="30" t="s">
        <v>3</v>
      </c>
      <c r="C8" s="40">
        <v>8.8096999999999994</v>
      </c>
      <c r="D8" s="39" t="s">
        <v>44</v>
      </c>
    </row>
    <row r="9" spans="1:6" s="30" customFormat="1" ht="12.95" customHeight="1" x14ac:dyDescent="0.2">
      <c r="A9" s="41" t="s">
        <v>30</v>
      </c>
      <c r="B9" s="41"/>
      <c r="C9" s="42">
        <v>21</v>
      </c>
      <c r="D9" s="42">
        <v>21</v>
      </c>
    </row>
    <row r="10" spans="1:6" s="30" customFormat="1" ht="12.95" customHeight="1" thickBot="1" x14ac:dyDescent="0.25">
      <c r="C10" s="43" t="s">
        <v>19</v>
      </c>
      <c r="D10" s="43" t="s">
        <v>20</v>
      </c>
    </row>
    <row r="11" spans="1:6" s="30" customFormat="1" ht="12.95" customHeight="1" x14ac:dyDescent="0.2">
      <c r="A11" s="30" t="s">
        <v>14</v>
      </c>
      <c r="C11" s="44">
        <f ca="1">INTERCEPT(INDIRECT(C14):R$927,INDIRECT(C13):$F$927)</f>
        <v>-1.4765977576996006E-4</v>
      </c>
      <c r="D11" s="44">
        <f ca="1">INTERCEPT(INDIRECT(D14):S$927,INDIRECT(D13):$F$927)</f>
        <v>1.3285525299332859</v>
      </c>
      <c r="E11" s="41" t="s">
        <v>36</v>
      </c>
      <c r="F11" s="30">
        <v>1</v>
      </c>
    </row>
    <row r="12" spans="1:6" s="30" customFormat="1" ht="12.95" customHeight="1" x14ac:dyDescent="0.2">
      <c r="A12" s="30" t="s">
        <v>15</v>
      </c>
      <c r="C12" s="44">
        <f ca="1">SLOPE(INDIRECT(C14):R$927,INDIRECT(C13):$F$927)</f>
        <v>1.0841484584042432E-5</v>
      </c>
      <c r="D12" s="44">
        <f ca="1">SLOPE(INDIRECT(D14):S$927,INDIRECT(D13):$F$927)</f>
        <v>-8.42462245383826E-6</v>
      </c>
      <c r="E12" s="41" t="s">
        <v>37</v>
      </c>
      <c r="F12" s="45">
        <f ca="1">NOW()+15018.5+$C$5/24</f>
        <v>60372.697733564812</v>
      </c>
    </row>
    <row r="13" spans="1:6" s="30" customFormat="1" ht="12.95" customHeight="1" x14ac:dyDescent="0.2">
      <c r="A13" s="41" t="s">
        <v>31</v>
      </c>
      <c r="B13" s="41"/>
      <c r="C13" s="42" t="str">
        <f>"F"&amp;C9</f>
        <v>F21</v>
      </c>
      <c r="D13" s="42" t="str">
        <f>"F"&amp;D9</f>
        <v>F21</v>
      </c>
      <c r="E13" s="41" t="s">
        <v>38</v>
      </c>
      <c r="F13" s="45">
        <f ca="1">ROUND(2*(F12-$C$7)/$C$8,0)/2+F11</f>
        <v>3668</v>
      </c>
    </row>
    <row r="14" spans="1:6" s="30" customFormat="1" ht="12.95" customHeight="1" x14ac:dyDescent="0.2">
      <c r="A14" s="41" t="s">
        <v>32</v>
      </c>
      <c r="B14" s="41"/>
      <c r="C14" s="42" t="str">
        <f>"R"&amp;C9</f>
        <v>R21</v>
      </c>
      <c r="D14" s="42" t="str">
        <f>"S"&amp;D9</f>
        <v>S21</v>
      </c>
      <c r="E14" s="41" t="s">
        <v>39</v>
      </c>
      <c r="F14" s="44">
        <f ca="1">ROUND(2*(F12-$C$15)/$C$16,0)/2+F11</f>
        <v>341</v>
      </c>
    </row>
    <row r="15" spans="1:6" s="30" customFormat="1" ht="12.95" customHeight="1" x14ac:dyDescent="0.2">
      <c r="A15" s="46" t="s">
        <v>16</v>
      </c>
      <c r="C15" s="47">
        <f ca="1">($C7+C11)+($C8+C12)*INT(MAX($F21:$F3525))</f>
        <v>57379.477821959437</v>
      </c>
      <c r="D15" s="47">
        <f ca="1">($C7+D11)+($C8+D12)*INT(MAX($F21:$F3525))</f>
        <v>57380.742423811025</v>
      </c>
      <c r="E15" s="41" t="s">
        <v>40</v>
      </c>
      <c r="F15" s="48">
        <f ca="1">+$C$15+$C$16*F14-15018.5-$C$5/24</f>
        <v>45365.485052239019</v>
      </c>
    </row>
    <row r="16" spans="1:6" s="30" customFormat="1" ht="12.95" customHeight="1" x14ac:dyDescent="0.2">
      <c r="A16" s="33" t="s">
        <v>4</v>
      </c>
      <c r="C16" s="49">
        <f ca="1">+$C8+C12</f>
        <v>8.8097108414845842</v>
      </c>
      <c r="D16" s="44">
        <f ca="1">+$C8+D12</f>
        <v>8.8096915753775455</v>
      </c>
      <c r="E16" s="50"/>
      <c r="F16" s="50" t="s">
        <v>35</v>
      </c>
    </row>
    <row r="17" spans="1:19" s="30" customFormat="1" ht="12.95" customHeight="1" thickBot="1" x14ac:dyDescent="0.25">
      <c r="A17" s="41" t="s">
        <v>29</v>
      </c>
      <c r="C17" s="30">
        <f>COUNT(C21:C1239)</f>
        <v>15</v>
      </c>
    </row>
    <row r="18" spans="1:19" s="30" customFormat="1" ht="12.95" customHeight="1" thickTop="1" thickBot="1" x14ac:dyDescent="0.25">
      <c r="A18" s="33" t="s">
        <v>22</v>
      </c>
      <c r="C18" s="51">
        <f ca="1">+C15</f>
        <v>57379.477821959437</v>
      </c>
      <c r="D18" s="52">
        <f ca="1">+C16</f>
        <v>8.8097108414845842</v>
      </c>
      <c r="E18" s="53">
        <f>R19</f>
        <v>8</v>
      </c>
    </row>
    <row r="19" spans="1:19" s="30" customFormat="1" ht="12.95" customHeight="1" thickTop="1" thickBot="1" x14ac:dyDescent="0.25">
      <c r="A19" s="33" t="s">
        <v>23</v>
      </c>
      <c r="C19" s="51">
        <f ca="1">+D15</f>
        <v>57380.742423811025</v>
      </c>
      <c r="D19" s="52">
        <f ca="1">+D16</f>
        <v>8.8096915753775455</v>
      </c>
      <c r="E19" s="53">
        <f>S19</f>
        <v>7</v>
      </c>
      <c r="R19" s="30">
        <f>COUNT(R21:R314)</f>
        <v>8</v>
      </c>
      <c r="S19" s="30">
        <f>COUNT(S21:S314)</f>
        <v>7</v>
      </c>
    </row>
    <row r="20" spans="1:19" s="30" customFormat="1" ht="12.95" customHeight="1" thickTop="1" thickBot="1" x14ac:dyDescent="0.25">
      <c r="A20" s="43" t="s">
        <v>5</v>
      </c>
      <c r="B20" s="43" t="s">
        <v>6</v>
      </c>
      <c r="C20" s="43" t="s">
        <v>7</v>
      </c>
      <c r="D20" s="43" t="s">
        <v>12</v>
      </c>
      <c r="E20" s="43" t="s">
        <v>8</v>
      </c>
      <c r="F20" s="43" t="s">
        <v>9</v>
      </c>
      <c r="G20" s="43" t="s">
        <v>10</v>
      </c>
      <c r="H20" s="54" t="s">
        <v>11</v>
      </c>
      <c r="I20" s="54" t="s">
        <v>90</v>
      </c>
      <c r="J20" s="54" t="s">
        <v>50</v>
      </c>
      <c r="K20" s="54" t="s">
        <v>26</v>
      </c>
      <c r="L20" s="54" t="s">
        <v>27</v>
      </c>
      <c r="M20" s="54" t="s">
        <v>18</v>
      </c>
      <c r="N20" s="54" t="s">
        <v>21</v>
      </c>
      <c r="O20" s="54" t="s">
        <v>24</v>
      </c>
      <c r="P20" s="55" t="s">
        <v>25</v>
      </c>
      <c r="Q20" s="43" t="s">
        <v>13</v>
      </c>
      <c r="R20" s="56" t="s">
        <v>19</v>
      </c>
      <c r="S20" s="56" t="s">
        <v>20</v>
      </c>
    </row>
    <row r="21" spans="1:19" s="30" customFormat="1" ht="12.95" customHeight="1" x14ac:dyDescent="0.2">
      <c r="A21" s="30" t="s">
        <v>43</v>
      </c>
      <c r="C21" s="57">
        <v>28069.57</v>
      </c>
      <c r="D21" s="57" t="s">
        <v>28</v>
      </c>
      <c r="E21" s="30">
        <f t="shared" ref="E21:E31" si="0">+(C21-C$7)/C$8</f>
        <v>0</v>
      </c>
      <c r="F21" s="30">
        <f t="shared" ref="F21:F35" si="1">ROUND(2*E21,0)/2</f>
        <v>0</v>
      </c>
      <c r="G21" s="30">
        <f t="shared" ref="G21:G31" si="2">+C21-(C$7+F21*C$8)</f>
        <v>0</v>
      </c>
      <c r="H21" s="30">
        <f t="shared" ref="H21:H35" si="3">+G21</f>
        <v>0</v>
      </c>
      <c r="O21" s="30">
        <f t="shared" ref="O21:O31" ca="1" si="4">+C$11+C$12*$F21</f>
        <v>-1.4765977576996006E-4</v>
      </c>
      <c r="P21" s="30">
        <f t="shared" ref="P21:P31" ca="1" si="5">+D$11+D$12*$F21</f>
        <v>1.3285525299332859</v>
      </c>
      <c r="Q21" s="58">
        <f t="shared" ref="Q21:Q31" si="6">+C21-15018.5</f>
        <v>13051.07</v>
      </c>
      <c r="R21" s="30">
        <f>G21</f>
        <v>0</v>
      </c>
    </row>
    <row r="22" spans="1:19" s="30" customFormat="1" ht="12.95" customHeight="1" x14ac:dyDescent="0.2">
      <c r="A22" s="23" t="s">
        <v>64</v>
      </c>
      <c r="B22" s="59" t="s">
        <v>46</v>
      </c>
      <c r="C22" s="60">
        <v>29634.62</v>
      </c>
      <c r="D22" s="61"/>
      <c r="E22" s="30">
        <f t="shared" si="0"/>
        <v>177.65077130889807</v>
      </c>
      <c r="F22" s="30">
        <f t="shared" si="1"/>
        <v>177.5</v>
      </c>
      <c r="G22" s="30">
        <f t="shared" si="2"/>
        <v>1.3282499999986612</v>
      </c>
      <c r="H22" s="30">
        <f t="shared" si="3"/>
        <v>1.3282499999986612</v>
      </c>
      <c r="O22" s="30">
        <f t="shared" ca="1" si="4"/>
        <v>1.7767037378975715E-3</v>
      </c>
      <c r="P22" s="30">
        <f t="shared" ca="1" si="5"/>
        <v>1.3270571594477296</v>
      </c>
      <c r="Q22" s="58">
        <f t="shared" si="6"/>
        <v>14616.119999999999</v>
      </c>
      <c r="S22" s="30">
        <f>G22</f>
        <v>1.3282499999986612</v>
      </c>
    </row>
    <row r="23" spans="1:19" s="30" customFormat="1" ht="12.95" customHeight="1" x14ac:dyDescent="0.2">
      <c r="A23" s="23" t="s">
        <v>64</v>
      </c>
      <c r="B23" s="62" t="s">
        <v>46</v>
      </c>
      <c r="C23" s="63">
        <v>30201.52</v>
      </c>
      <c r="D23" s="64"/>
      <c r="E23" s="30">
        <f t="shared" si="0"/>
        <v>242.00029512923265</v>
      </c>
      <c r="F23" s="30">
        <f t="shared" si="1"/>
        <v>242</v>
      </c>
      <c r="G23" s="30">
        <f t="shared" si="2"/>
        <v>2.599999999802094E-3</v>
      </c>
      <c r="H23" s="30">
        <f t="shared" si="3"/>
        <v>2.599999999802094E-3</v>
      </c>
      <c r="O23" s="30">
        <f t="shared" ca="1" si="4"/>
        <v>2.4759794935683083E-3</v>
      </c>
      <c r="P23" s="30">
        <f t="shared" ca="1" si="5"/>
        <v>1.326513771299457</v>
      </c>
      <c r="Q23" s="58">
        <f t="shared" si="6"/>
        <v>15183.02</v>
      </c>
      <c r="R23" s="30">
        <f>G23</f>
        <v>2.599999999802094E-3</v>
      </c>
    </row>
    <row r="24" spans="1:19" s="30" customFormat="1" ht="12.95" customHeight="1" x14ac:dyDescent="0.2">
      <c r="A24" s="65" t="s">
        <v>45</v>
      </c>
      <c r="B24" s="66" t="s">
        <v>46</v>
      </c>
      <c r="C24" s="67">
        <v>53667.449000000001</v>
      </c>
      <c r="D24" s="67">
        <v>8.0000000000000002E-3</v>
      </c>
      <c r="E24" s="30">
        <f t="shared" si="0"/>
        <v>2905.6470708423672</v>
      </c>
      <c r="F24" s="30">
        <f t="shared" si="1"/>
        <v>2905.5</v>
      </c>
      <c r="G24" s="30">
        <f t="shared" si="2"/>
        <v>1.2956500000072992</v>
      </c>
      <c r="J24" s="30">
        <f>+G24</f>
        <v>1.2956500000072992</v>
      </c>
      <c r="O24" s="30">
        <f t="shared" ca="1" si="4"/>
        <v>3.135227368316533E-2</v>
      </c>
      <c r="P24" s="30">
        <f t="shared" ca="1" si="5"/>
        <v>1.3040747893936588</v>
      </c>
      <c r="Q24" s="58">
        <f t="shared" si="6"/>
        <v>38648.949000000001</v>
      </c>
      <c r="S24" s="30">
        <f>G24</f>
        <v>1.2956500000072992</v>
      </c>
    </row>
    <row r="25" spans="1:19" s="30" customFormat="1" ht="12.95" customHeight="1" x14ac:dyDescent="0.2">
      <c r="A25" s="65" t="s">
        <v>45</v>
      </c>
      <c r="B25" s="66" t="s">
        <v>47</v>
      </c>
      <c r="C25" s="67">
        <v>53670.586000000003</v>
      </c>
      <c r="D25" s="67">
        <v>0.01</v>
      </c>
      <c r="E25" s="30">
        <f t="shared" si="0"/>
        <v>2906.0031556125641</v>
      </c>
      <c r="F25" s="30">
        <f t="shared" si="1"/>
        <v>2906</v>
      </c>
      <c r="G25" s="30">
        <f t="shared" si="2"/>
        <v>2.7800000003480818E-2</v>
      </c>
      <c r="J25" s="30">
        <f>+G25</f>
        <v>2.7800000003480818E-2</v>
      </c>
      <c r="O25" s="30">
        <f t="shared" ca="1" si="4"/>
        <v>3.1357694425457341E-2</v>
      </c>
      <c r="P25" s="30">
        <f t="shared" ca="1" si="5"/>
        <v>1.3040705770824319</v>
      </c>
      <c r="Q25" s="58">
        <f t="shared" si="6"/>
        <v>38652.086000000003</v>
      </c>
      <c r="R25" s="30">
        <f>G25</f>
        <v>2.7800000003480818E-2</v>
      </c>
    </row>
    <row r="26" spans="1:19" s="30" customFormat="1" ht="12.95" customHeight="1" x14ac:dyDescent="0.2">
      <c r="A26" s="65" t="s">
        <v>45</v>
      </c>
      <c r="B26" s="66" t="s">
        <v>46</v>
      </c>
      <c r="C26" s="67">
        <v>56310.362999999998</v>
      </c>
      <c r="D26" s="67">
        <v>0.01</v>
      </c>
      <c r="E26" s="30">
        <f t="shared" si="0"/>
        <v>3205.6475248873398</v>
      </c>
      <c r="F26" s="30">
        <f t="shared" si="1"/>
        <v>3205.5</v>
      </c>
      <c r="G26" s="30">
        <f t="shared" si="2"/>
        <v>1.2996500000008382</v>
      </c>
      <c r="J26" s="30">
        <f>+G26</f>
        <v>1.2996500000008382</v>
      </c>
      <c r="O26" s="30">
        <f t="shared" ca="1" si="4"/>
        <v>3.4604719058378058E-2</v>
      </c>
      <c r="P26" s="30">
        <f t="shared" ca="1" si="5"/>
        <v>1.3015474026575073</v>
      </c>
      <c r="Q26" s="58">
        <f t="shared" si="6"/>
        <v>41291.862999999998</v>
      </c>
      <c r="S26" s="30">
        <f>G26</f>
        <v>1.2996500000008382</v>
      </c>
    </row>
    <row r="27" spans="1:19" s="30" customFormat="1" ht="12.95" customHeight="1" x14ac:dyDescent="0.2">
      <c r="A27" s="65" t="s">
        <v>45</v>
      </c>
      <c r="B27" s="66" t="s">
        <v>46</v>
      </c>
      <c r="C27" s="67">
        <v>56310.362999999998</v>
      </c>
      <c r="D27" s="67">
        <v>0.01</v>
      </c>
      <c r="E27" s="30">
        <f t="shared" si="0"/>
        <v>3205.6475248873398</v>
      </c>
      <c r="F27" s="30">
        <f t="shared" si="1"/>
        <v>3205.5</v>
      </c>
      <c r="G27" s="30">
        <f t="shared" si="2"/>
        <v>1.2996500000008382</v>
      </c>
      <c r="J27" s="30">
        <f>+G27</f>
        <v>1.2996500000008382</v>
      </c>
      <c r="O27" s="30">
        <f t="shared" ca="1" si="4"/>
        <v>3.4604719058378058E-2</v>
      </c>
      <c r="P27" s="30">
        <f t="shared" ca="1" si="5"/>
        <v>1.3015474026575073</v>
      </c>
      <c r="Q27" s="58">
        <f t="shared" si="6"/>
        <v>41291.862999999998</v>
      </c>
      <c r="S27" s="30">
        <f>G27</f>
        <v>1.2996500000008382</v>
      </c>
    </row>
    <row r="28" spans="1:19" s="30" customFormat="1" ht="12.95" customHeight="1" x14ac:dyDescent="0.2">
      <c r="A28" s="65" t="s">
        <v>45</v>
      </c>
      <c r="B28" s="66" t="s">
        <v>47</v>
      </c>
      <c r="C28" s="67">
        <v>56313.502</v>
      </c>
      <c r="D28" s="67">
        <v>1.4999999999999999E-2</v>
      </c>
      <c r="E28" s="30">
        <f t="shared" si="0"/>
        <v>3206.0038366800236</v>
      </c>
      <c r="F28" s="30">
        <f t="shared" si="1"/>
        <v>3206</v>
      </c>
      <c r="G28" s="30">
        <f t="shared" si="2"/>
        <v>3.3799999997427221E-2</v>
      </c>
      <c r="J28" s="30">
        <f>+G28</f>
        <v>3.3799999997427221E-2</v>
      </c>
      <c r="O28" s="30">
        <f t="shared" ca="1" si="4"/>
        <v>3.461013980067007E-2</v>
      </c>
      <c r="P28" s="30">
        <f t="shared" ca="1" si="5"/>
        <v>1.3015431903462804</v>
      </c>
      <c r="Q28" s="58">
        <f t="shared" si="6"/>
        <v>41295.002</v>
      </c>
      <c r="R28" s="30">
        <f>G28</f>
        <v>3.3799999997427221E-2</v>
      </c>
    </row>
    <row r="29" spans="1:19" x14ac:dyDescent="0.2">
      <c r="A29" s="24" t="s">
        <v>45</v>
      </c>
      <c r="B29" s="25" t="s">
        <v>47</v>
      </c>
      <c r="C29" s="26">
        <v>56313.508999999998</v>
      </c>
      <c r="D29" s="26">
        <v>1.4999999999999999E-2</v>
      </c>
      <c r="E29">
        <f t="shared" si="0"/>
        <v>3206.004631258726</v>
      </c>
      <c r="F29">
        <f t="shared" si="1"/>
        <v>3206</v>
      </c>
      <c r="G29">
        <f t="shared" si="2"/>
        <v>4.079999999521533E-2</v>
      </c>
      <c r="J29">
        <f>+G29</f>
        <v>4.079999999521533E-2</v>
      </c>
      <c r="O29">
        <f t="shared" ca="1" si="4"/>
        <v>3.461013980067007E-2</v>
      </c>
      <c r="P29">
        <f t="shared" ca="1" si="5"/>
        <v>1.3015431903462804</v>
      </c>
      <c r="Q29" s="2">
        <f t="shared" si="6"/>
        <v>41295.008999999998</v>
      </c>
      <c r="R29">
        <f>G29</f>
        <v>4.079999999521533E-2</v>
      </c>
    </row>
    <row r="30" spans="1:19" x14ac:dyDescent="0.2">
      <c r="A30" s="4" t="s">
        <v>89</v>
      </c>
      <c r="B30" s="27" t="s">
        <v>46</v>
      </c>
      <c r="C30" s="9">
        <v>57106.376199999999</v>
      </c>
      <c r="D30" s="9"/>
      <c r="E30">
        <f t="shared" si="0"/>
        <v>3296.0039728935153</v>
      </c>
      <c r="F30">
        <f t="shared" si="1"/>
        <v>3296</v>
      </c>
      <c r="G30">
        <f t="shared" si="2"/>
        <v>3.500000000349246E-2</v>
      </c>
      <c r="J30">
        <f>+G30</f>
        <v>3.500000000349246E-2</v>
      </c>
      <c r="O30">
        <f t="shared" ca="1" si="4"/>
        <v>3.5585873413233896E-2</v>
      </c>
      <c r="P30">
        <f t="shared" ca="1" si="5"/>
        <v>1.3007849743254349</v>
      </c>
      <c r="Q30" s="2">
        <f t="shared" si="6"/>
        <v>42087.876199999999</v>
      </c>
      <c r="R30">
        <f>G30</f>
        <v>3.500000000349246E-2</v>
      </c>
    </row>
    <row r="31" spans="1:19" x14ac:dyDescent="0.2">
      <c r="A31" s="4" t="s">
        <v>89</v>
      </c>
      <c r="B31" s="7" t="s">
        <v>47</v>
      </c>
      <c r="C31" s="3">
        <v>57094.431100000002</v>
      </c>
      <c r="D31" s="3"/>
      <c r="E31">
        <f t="shared" si="0"/>
        <v>3294.6480697413085</v>
      </c>
      <c r="F31">
        <f t="shared" si="1"/>
        <v>3294.5</v>
      </c>
      <c r="G31">
        <f t="shared" si="2"/>
        <v>1.3044500000032713</v>
      </c>
      <c r="J31">
        <f>+G31</f>
        <v>1.3044500000032713</v>
      </c>
      <c r="O31">
        <f t="shared" ca="1" si="4"/>
        <v>3.5569611186357833E-2</v>
      </c>
      <c r="P31">
        <f t="shared" ca="1" si="5"/>
        <v>1.3007976112591157</v>
      </c>
      <c r="Q31" s="2">
        <f t="shared" si="6"/>
        <v>42075.931100000002</v>
      </c>
      <c r="S31">
        <f>G31</f>
        <v>1.3044500000032713</v>
      </c>
    </row>
    <row r="32" spans="1:19" x14ac:dyDescent="0.2">
      <c r="A32" s="28" t="s">
        <v>89</v>
      </c>
      <c r="B32" s="29" t="s">
        <v>46</v>
      </c>
      <c r="C32" s="28">
        <v>57094.431600000004</v>
      </c>
      <c r="D32" s="28" t="s">
        <v>57</v>
      </c>
      <c r="E32">
        <f>+(C32-C$7)/C$8</f>
        <v>3294.6481264969302</v>
      </c>
      <c r="F32">
        <f t="shared" si="1"/>
        <v>3294.5</v>
      </c>
      <c r="G32">
        <f>+C32-(C$7+F32*C$8)</f>
        <v>1.3049500000051921</v>
      </c>
      <c r="J32">
        <f>+G32</f>
        <v>1.3049500000051921</v>
      </c>
      <c r="O32">
        <f t="shared" ref="O32:P35" ca="1" si="7">+C$11+C$12*$F32</f>
        <v>3.5569611186357833E-2</v>
      </c>
      <c r="P32">
        <f t="shared" ca="1" si="7"/>
        <v>1.3007976112591157</v>
      </c>
      <c r="Q32" s="2">
        <f>+C32-15018.5</f>
        <v>42075.931600000004</v>
      </c>
      <c r="S32">
        <f>G32</f>
        <v>1.3049500000051921</v>
      </c>
    </row>
    <row r="33" spans="1:19" x14ac:dyDescent="0.2">
      <c r="A33" s="28" t="s">
        <v>89</v>
      </c>
      <c r="B33" s="29" t="s">
        <v>46</v>
      </c>
      <c r="C33" s="28">
        <v>57106.376499999998</v>
      </c>
      <c r="D33" s="28" t="s">
        <v>57</v>
      </c>
      <c r="E33">
        <f>+(C33-C$7)/C$8</f>
        <v>3296.0040069468882</v>
      </c>
      <c r="F33">
        <f t="shared" si="1"/>
        <v>3296</v>
      </c>
      <c r="G33">
        <f>+C33-(C$7+F33*C$8)</f>
        <v>3.530000000318978E-2</v>
      </c>
      <c r="J33">
        <f>+G33</f>
        <v>3.530000000318978E-2</v>
      </c>
      <c r="O33">
        <f t="shared" ca="1" si="7"/>
        <v>3.5585873413233896E-2</v>
      </c>
      <c r="P33">
        <f t="shared" ca="1" si="7"/>
        <v>1.3007849743254349</v>
      </c>
      <c r="Q33" s="2">
        <f>+C33-15018.5</f>
        <v>42087.876499999998</v>
      </c>
      <c r="R33">
        <f>G33</f>
        <v>3.530000000318978E-2</v>
      </c>
    </row>
    <row r="34" spans="1:19" x14ac:dyDescent="0.2">
      <c r="A34" s="28" t="s">
        <v>89</v>
      </c>
      <c r="B34" s="29" t="s">
        <v>46</v>
      </c>
      <c r="C34" s="28">
        <v>57376.340799999998</v>
      </c>
      <c r="D34" s="28" t="s">
        <v>57</v>
      </c>
      <c r="E34">
        <f>+(C34-C$7)/C$8</f>
        <v>3326.6479902834376</v>
      </c>
      <c r="F34">
        <f t="shared" si="1"/>
        <v>3326.5</v>
      </c>
      <c r="G34">
        <f>+C34-(C$7+F34*C$8)</f>
        <v>1.3037499999991269</v>
      </c>
      <c r="J34">
        <f>+G34</f>
        <v>1.3037499999991269</v>
      </c>
      <c r="O34">
        <f t="shared" ca="1" si="7"/>
        <v>3.5916538693047187E-2</v>
      </c>
      <c r="P34">
        <f t="shared" ca="1" si="7"/>
        <v>1.3005280233405929</v>
      </c>
      <c r="Q34" s="2">
        <f>+C34-15018.5</f>
        <v>42357.840799999998</v>
      </c>
      <c r="S34">
        <f>G34</f>
        <v>1.3037499999991269</v>
      </c>
    </row>
    <row r="35" spans="1:19" x14ac:dyDescent="0.2">
      <c r="A35" s="28" t="s">
        <v>89</v>
      </c>
      <c r="B35" s="29" t="s">
        <v>46</v>
      </c>
      <c r="C35" s="28">
        <v>57379.476600000002</v>
      </c>
      <c r="D35" s="28" t="s">
        <v>57</v>
      </c>
      <c r="E35">
        <f>+(C35-C$7)/C$8</f>
        <v>3327.0039388401424</v>
      </c>
      <c r="F35">
        <f t="shared" si="1"/>
        <v>3327</v>
      </c>
      <c r="G35">
        <f>+C35-(C$7+F35*C$8)</f>
        <v>3.4700000003795139E-2</v>
      </c>
      <c r="J35">
        <f>+G35</f>
        <v>3.4700000003795139E-2</v>
      </c>
      <c r="O35">
        <f t="shared" ca="1" si="7"/>
        <v>3.5921959435339212E-2</v>
      </c>
      <c r="P35">
        <f t="shared" ca="1" si="7"/>
        <v>1.300523811029366</v>
      </c>
      <c r="Q35" s="2">
        <f>+C35-15018.5</f>
        <v>42360.976600000002</v>
      </c>
      <c r="R35">
        <f>G35</f>
        <v>3.4700000003795139E-2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workbookViewId="0">
      <selection activeCell="A18" sqref="A18:C19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0" t="s">
        <v>48</v>
      </c>
      <c r="I1" s="11" t="s">
        <v>49</v>
      </c>
      <c r="J1" s="12" t="s">
        <v>50</v>
      </c>
    </row>
    <row r="2" spans="1:16" x14ac:dyDescent="0.2">
      <c r="I2" s="13" t="s">
        <v>51</v>
      </c>
      <c r="J2" s="14" t="s">
        <v>52</v>
      </c>
    </row>
    <row r="3" spans="1:16" x14ac:dyDescent="0.2">
      <c r="A3" s="15" t="s">
        <v>53</v>
      </c>
      <c r="I3" s="13" t="s">
        <v>54</v>
      </c>
      <c r="J3" s="14" t="s">
        <v>55</v>
      </c>
    </row>
    <row r="4" spans="1:16" x14ac:dyDescent="0.2">
      <c r="I4" s="13" t="s">
        <v>56</v>
      </c>
      <c r="J4" s="14" t="s">
        <v>55</v>
      </c>
    </row>
    <row r="5" spans="1:16" ht="13.5" thickBot="1" x14ac:dyDescent="0.25">
      <c r="I5" s="16" t="s">
        <v>57</v>
      </c>
      <c r="J5" s="17" t="s">
        <v>58</v>
      </c>
    </row>
    <row r="10" spans="1:16" ht="13.5" thickBot="1" x14ac:dyDescent="0.25"/>
    <row r="11" spans="1:16" ht="12.75" customHeight="1" thickBot="1" x14ac:dyDescent="0.25">
      <c r="A11" s="6" t="str">
        <f t="shared" ref="A11:A19" si="0">P11</f>
        <v> VSS 1.77 </v>
      </c>
      <c r="B11" s="5" t="str">
        <f t="shared" ref="B11:B19" si="1">IF(H11=INT(H11),"I","II")</f>
        <v>I</v>
      </c>
      <c r="C11" s="6">
        <f t="shared" ref="C11:C19" si="2">1*G11</f>
        <v>28069.57</v>
      </c>
      <c r="D11" s="8" t="str">
        <f t="shared" ref="D11:D19" si="3">VLOOKUP(F11,I$1:J$5,2,FALSE)</f>
        <v>vis</v>
      </c>
      <c r="E11" s="18">
        <f>VLOOKUP(C11,'Active 1'!C$21:E$965,3,FALSE)</f>
        <v>0</v>
      </c>
      <c r="F11" s="5" t="s">
        <v>57</v>
      </c>
      <c r="G11" s="8" t="str">
        <f t="shared" ref="G11:G19" si="4">MID(I11,3,LEN(I11)-3)</f>
        <v>28069.57</v>
      </c>
      <c r="H11" s="6">
        <f t="shared" ref="H11:H19" si="5">1*K11</f>
        <v>0</v>
      </c>
      <c r="I11" s="19" t="s">
        <v>59</v>
      </c>
      <c r="J11" s="20" t="s">
        <v>60</v>
      </c>
      <c r="K11" s="19">
        <v>0</v>
      </c>
      <c r="L11" s="19" t="s">
        <v>61</v>
      </c>
      <c r="M11" s="20" t="s">
        <v>62</v>
      </c>
      <c r="N11" s="20"/>
      <c r="O11" s="21" t="s">
        <v>63</v>
      </c>
      <c r="P11" s="21" t="s">
        <v>64</v>
      </c>
    </row>
    <row r="12" spans="1:16" ht="12.75" customHeight="1" thickBot="1" x14ac:dyDescent="0.25">
      <c r="A12" s="6" t="str">
        <f t="shared" si="0"/>
        <v>OEJV 0172 </v>
      </c>
      <c r="B12" s="5" t="str">
        <f t="shared" si="1"/>
        <v>II</v>
      </c>
      <c r="C12" s="6">
        <f t="shared" si="2"/>
        <v>53667.449000000001</v>
      </c>
      <c r="D12" s="8" t="str">
        <f t="shared" si="3"/>
        <v>vis</v>
      </c>
      <c r="E12" s="18">
        <f>VLOOKUP(C12,'Active 1'!C$21:E$965,3,FALSE)</f>
        <v>2905.6470708423672</v>
      </c>
      <c r="F12" s="5" t="s">
        <v>57</v>
      </c>
      <c r="G12" s="8" t="str">
        <f t="shared" si="4"/>
        <v>53667.449</v>
      </c>
      <c r="H12" s="6">
        <f t="shared" si="5"/>
        <v>1128.5</v>
      </c>
      <c r="I12" s="19" t="s">
        <v>71</v>
      </c>
      <c r="J12" s="20" t="s">
        <v>72</v>
      </c>
      <c r="K12" s="19">
        <v>1128.5</v>
      </c>
      <c r="L12" s="19" t="s">
        <v>73</v>
      </c>
      <c r="M12" s="20" t="s">
        <v>74</v>
      </c>
      <c r="N12" s="20" t="s">
        <v>57</v>
      </c>
      <c r="O12" s="21" t="s">
        <v>75</v>
      </c>
      <c r="P12" s="22" t="s">
        <v>76</v>
      </c>
    </row>
    <row r="13" spans="1:16" ht="12.75" customHeight="1" thickBot="1" x14ac:dyDescent="0.25">
      <c r="A13" s="6" t="str">
        <f t="shared" si="0"/>
        <v>OEJV 0172 </v>
      </c>
      <c r="B13" s="5" t="str">
        <f t="shared" si="1"/>
        <v>II</v>
      </c>
      <c r="C13" s="6">
        <f t="shared" si="2"/>
        <v>53670.586000000003</v>
      </c>
      <c r="D13" s="8" t="str">
        <f t="shared" si="3"/>
        <v>vis</v>
      </c>
      <c r="E13" s="18">
        <f>VLOOKUP(C13,'Active 1'!C$21:E$965,3,FALSE)</f>
        <v>2906.0031556125641</v>
      </c>
      <c r="F13" s="5" t="s">
        <v>57</v>
      </c>
      <c r="G13" s="8" t="str">
        <f t="shared" si="4"/>
        <v>53670.586</v>
      </c>
      <c r="H13" s="6">
        <f t="shared" si="5"/>
        <v>1128.5</v>
      </c>
      <c r="I13" s="19" t="s">
        <v>77</v>
      </c>
      <c r="J13" s="20" t="s">
        <v>78</v>
      </c>
      <c r="K13" s="19">
        <v>1128.5</v>
      </c>
      <c r="L13" s="19" t="s">
        <v>79</v>
      </c>
      <c r="M13" s="20" t="s">
        <v>74</v>
      </c>
      <c r="N13" s="20" t="s">
        <v>57</v>
      </c>
      <c r="O13" s="21" t="s">
        <v>75</v>
      </c>
      <c r="P13" s="22" t="s">
        <v>76</v>
      </c>
    </row>
    <row r="14" spans="1:16" ht="12.75" customHeight="1" thickBot="1" x14ac:dyDescent="0.25">
      <c r="A14" s="6" t="str">
        <f t="shared" si="0"/>
        <v>OEJV 0172 </v>
      </c>
      <c r="B14" s="5" t="str">
        <f t="shared" si="1"/>
        <v>I</v>
      </c>
      <c r="C14" s="6">
        <f t="shared" si="2"/>
        <v>56310.362999999998</v>
      </c>
      <c r="D14" s="8" t="str">
        <f t="shared" si="3"/>
        <v>vis</v>
      </c>
      <c r="E14" s="18">
        <f>VLOOKUP(C14,'Active 1'!C$21:E$965,3,FALSE)</f>
        <v>3205.6475248873398</v>
      </c>
      <c r="F14" s="5" t="s">
        <v>57</v>
      </c>
      <c r="G14" s="8" t="str">
        <f t="shared" si="4"/>
        <v>56310.363</v>
      </c>
      <c r="H14" s="6">
        <f t="shared" si="5"/>
        <v>1245</v>
      </c>
      <c r="I14" s="19" t="s">
        <v>80</v>
      </c>
      <c r="J14" s="20" t="s">
        <v>81</v>
      </c>
      <c r="K14" s="19">
        <v>1245</v>
      </c>
      <c r="L14" s="19" t="s">
        <v>82</v>
      </c>
      <c r="M14" s="20" t="s">
        <v>74</v>
      </c>
      <c r="N14" s="20" t="s">
        <v>57</v>
      </c>
      <c r="O14" s="21" t="s">
        <v>75</v>
      </c>
      <c r="P14" s="22" t="s">
        <v>76</v>
      </c>
    </row>
    <row r="15" spans="1:16" ht="12.75" customHeight="1" thickBot="1" x14ac:dyDescent="0.25">
      <c r="A15" s="6" t="str">
        <f t="shared" si="0"/>
        <v>OEJV 0172 </v>
      </c>
      <c r="B15" s="5" t="str">
        <f t="shared" si="1"/>
        <v>I</v>
      </c>
      <c r="C15" s="6">
        <f t="shared" si="2"/>
        <v>56310.362999999998</v>
      </c>
      <c r="D15" s="8" t="str">
        <f t="shared" si="3"/>
        <v>vis</v>
      </c>
      <c r="E15" s="18">
        <f>VLOOKUP(C15,'Active 1'!C$21:E$965,3,FALSE)</f>
        <v>3205.6475248873398</v>
      </c>
      <c r="F15" s="5" t="s">
        <v>57</v>
      </c>
      <c r="G15" s="8" t="str">
        <f t="shared" si="4"/>
        <v>56310.363</v>
      </c>
      <c r="H15" s="6">
        <f t="shared" si="5"/>
        <v>1245</v>
      </c>
      <c r="I15" s="19" t="s">
        <v>80</v>
      </c>
      <c r="J15" s="20" t="s">
        <v>81</v>
      </c>
      <c r="K15" s="19">
        <v>1245</v>
      </c>
      <c r="L15" s="19" t="s">
        <v>82</v>
      </c>
      <c r="M15" s="20" t="s">
        <v>74</v>
      </c>
      <c r="N15" s="20" t="s">
        <v>46</v>
      </c>
      <c r="O15" s="21" t="s">
        <v>75</v>
      </c>
      <c r="P15" s="22" t="s">
        <v>76</v>
      </c>
    </row>
    <row r="16" spans="1:16" ht="12.75" customHeight="1" thickBot="1" x14ac:dyDescent="0.25">
      <c r="A16" s="6" t="str">
        <f t="shared" si="0"/>
        <v>OEJV 0172 </v>
      </c>
      <c r="B16" s="5" t="str">
        <f t="shared" si="1"/>
        <v>I</v>
      </c>
      <c r="C16" s="6">
        <f t="shared" si="2"/>
        <v>56313.502</v>
      </c>
      <c r="D16" s="8" t="str">
        <f t="shared" si="3"/>
        <v>vis</v>
      </c>
      <c r="E16" s="18">
        <f>VLOOKUP(C16,'Active 1'!C$21:E$965,3,FALSE)</f>
        <v>3206.0038366800236</v>
      </c>
      <c r="F16" s="5" t="s">
        <v>57</v>
      </c>
      <c r="G16" s="8" t="str">
        <f t="shared" si="4"/>
        <v>56313.502</v>
      </c>
      <c r="H16" s="6">
        <f t="shared" si="5"/>
        <v>1245</v>
      </c>
      <c r="I16" s="19" t="s">
        <v>83</v>
      </c>
      <c r="J16" s="20" t="s">
        <v>84</v>
      </c>
      <c r="K16" s="19">
        <v>1245</v>
      </c>
      <c r="L16" s="19" t="s">
        <v>85</v>
      </c>
      <c r="M16" s="20" t="s">
        <v>74</v>
      </c>
      <c r="N16" s="20" t="s">
        <v>57</v>
      </c>
      <c r="O16" s="21" t="s">
        <v>75</v>
      </c>
      <c r="P16" s="22" t="s">
        <v>76</v>
      </c>
    </row>
    <row r="17" spans="1:16" ht="12.75" customHeight="1" thickBot="1" x14ac:dyDescent="0.25">
      <c r="A17" s="6" t="str">
        <f t="shared" si="0"/>
        <v>OEJV 0172 </v>
      </c>
      <c r="B17" s="5" t="str">
        <f t="shared" si="1"/>
        <v>I</v>
      </c>
      <c r="C17" s="6">
        <f t="shared" si="2"/>
        <v>56313.508999999998</v>
      </c>
      <c r="D17" s="8" t="str">
        <f t="shared" si="3"/>
        <v>vis</v>
      </c>
      <c r="E17" s="18">
        <f>VLOOKUP(C17,'Active 1'!C$21:E$965,3,FALSE)</f>
        <v>3206.004631258726</v>
      </c>
      <c r="F17" s="5" t="s">
        <v>57</v>
      </c>
      <c r="G17" s="8" t="str">
        <f t="shared" si="4"/>
        <v>56313.509</v>
      </c>
      <c r="H17" s="6">
        <f t="shared" si="5"/>
        <v>1245</v>
      </c>
      <c r="I17" s="19" t="s">
        <v>86</v>
      </c>
      <c r="J17" s="20" t="s">
        <v>87</v>
      </c>
      <c r="K17" s="19">
        <v>1245</v>
      </c>
      <c r="L17" s="19" t="s">
        <v>88</v>
      </c>
      <c r="M17" s="20" t="s">
        <v>74</v>
      </c>
      <c r="N17" s="20" t="s">
        <v>46</v>
      </c>
      <c r="O17" s="21" t="s">
        <v>75</v>
      </c>
      <c r="P17" s="22" t="s">
        <v>76</v>
      </c>
    </row>
    <row r="18" spans="1:16" ht="12.75" customHeight="1" thickBot="1" x14ac:dyDescent="0.25">
      <c r="A18" s="6" t="str">
        <f t="shared" si="0"/>
        <v> VSS 1.77 </v>
      </c>
      <c r="B18" s="5" t="str">
        <f t="shared" si="1"/>
        <v>I</v>
      </c>
      <c r="C18" s="6">
        <f t="shared" si="2"/>
        <v>29634.62</v>
      </c>
      <c r="D18" s="8" t="str">
        <f t="shared" si="3"/>
        <v>vis</v>
      </c>
      <c r="E18" s="18">
        <f>VLOOKUP(C18,'Active 1'!C$21:E$965,3,FALSE)</f>
        <v>177.65077130889807</v>
      </c>
      <c r="F18" s="5" t="s">
        <v>57</v>
      </c>
      <c r="G18" s="8" t="str">
        <f t="shared" si="4"/>
        <v>29634.62</v>
      </c>
      <c r="H18" s="6">
        <f t="shared" si="5"/>
        <v>69</v>
      </c>
      <c r="I18" s="19" t="s">
        <v>65</v>
      </c>
      <c r="J18" s="20" t="s">
        <v>66</v>
      </c>
      <c r="K18" s="19">
        <v>69</v>
      </c>
      <c r="L18" s="19" t="s">
        <v>67</v>
      </c>
      <c r="M18" s="20" t="s">
        <v>62</v>
      </c>
      <c r="N18" s="20"/>
      <c r="O18" s="21" t="s">
        <v>63</v>
      </c>
      <c r="P18" s="21" t="s">
        <v>64</v>
      </c>
    </row>
    <row r="19" spans="1:16" ht="12.75" customHeight="1" thickBot="1" x14ac:dyDescent="0.25">
      <c r="A19" s="6" t="str">
        <f t="shared" si="0"/>
        <v> VSS 1.77 </v>
      </c>
      <c r="B19" s="5" t="str">
        <f t="shared" si="1"/>
        <v>I</v>
      </c>
      <c r="C19" s="6">
        <f t="shared" si="2"/>
        <v>30201.52</v>
      </c>
      <c r="D19" s="8" t="str">
        <f t="shared" si="3"/>
        <v>vis</v>
      </c>
      <c r="E19" s="18">
        <f>VLOOKUP(C19,'Active 1'!C$21:E$965,3,FALSE)</f>
        <v>242.00029512923265</v>
      </c>
      <c r="F19" s="5" t="s">
        <v>57</v>
      </c>
      <c r="G19" s="8" t="str">
        <f t="shared" si="4"/>
        <v>30201.52</v>
      </c>
      <c r="H19" s="6">
        <f t="shared" si="5"/>
        <v>94</v>
      </c>
      <c r="I19" s="19" t="s">
        <v>68</v>
      </c>
      <c r="J19" s="20" t="s">
        <v>69</v>
      </c>
      <c r="K19" s="19">
        <v>94</v>
      </c>
      <c r="L19" s="19" t="s">
        <v>70</v>
      </c>
      <c r="M19" s="20" t="s">
        <v>62</v>
      </c>
      <c r="N19" s="20"/>
      <c r="O19" s="21" t="s">
        <v>63</v>
      </c>
      <c r="P19" s="21" t="s">
        <v>64</v>
      </c>
    </row>
    <row r="20" spans="1:16" x14ac:dyDescent="0.2">
      <c r="B20" s="5"/>
      <c r="F20" s="5"/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</sheetData>
  <phoneticPr fontId="7" type="noConversion"/>
  <hyperlinks>
    <hyperlink ref="P12" r:id="rId1" display="http://var.astro.cz/oejv/issues/oejv0172.pdf"/>
    <hyperlink ref="P13" r:id="rId2" display="http://var.astro.cz/oejv/issues/oejv0172.pdf"/>
    <hyperlink ref="P14" r:id="rId3" display="http://var.astro.cz/oejv/issues/oejv0172.pdf"/>
    <hyperlink ref="P15" r:id="rId4" display="http://var.astro.cz/oejv/issues/oejv0172.pdf"/>
    <hyperlink ref="P16" r:id="rId5" display="http://var.astro.cz/oejv/issues/oejv0172.pdf"/>
    <hyperlink ref="P17" r:id="rId6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2024-03-03T03:44:44Z</dcterms:modified>
</cp:coreProperties>
</file>