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44A2EDC-6EE2-4625-9B33-EAAD20D28E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3" i="1"/>
  <c r="F33" i="1"/>
  <c r="G33" i="1"/>
  <c r="K33" i="1"/>
  <c r="E35" i="1"/>
  <c r="F35" i="1"/>
  <c r="G35" i="1"/>
  <c r="K35" i="1"/>
  <c r="D9" i="1"/>
  <c r="C9" i="1"/>
  <c r="E32" i="1"/>
  <c r="F32" i="1"/>
  <c r="G32" i="1"/>
  <c r="H32" i="1"/>
  <c r="E34" i="1"/>
  <c r="F34" i="1"/>
  <c r="G34" i="1"/>
  <c r="I34" i="1"/>
  <c r="E36" i="1"/>
  <c r="F36" i="1"/>
  <c r="G36" i="1"/>
  <c r="I36" i="1"/>
  <c r="Q21" i="1"/>
  <c r="Q22" i="1"/>
  <c r="Q23" i="1"/>
  <c r="Q24" i="1"/>
  <c r="Q25" i="1"/>
  <c r="Q26" i="1"/>
  <c r="Q27" i="1"/>
  <c r="Q28" i="1"/>
  <c r="Q29" i="1"/>
  <c r="Q30" i="1"/>
  <c r="Q31" i="1"/>
  <c r="Q33" i="1"/>
  <c r="Q35" i="1"/>
  <c r="G12" i="2"/>
  <c r="C12" i="2"/>
  <c r="E12" i="2"/>
  <c r="G25" i="2"/>
  <c r="C25" i="2"/>
  <c r="E25" i="2"/>
  <c r="G11" i="2"/>
  <c r="C11" i="2"/>
  <c r="E11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25" i="2"/>
  <c r="D25" i="2"/>
  <c r="B25" i="2"/>
  <c r="A25" i="2"/>
  <c r="H11" i="2"/>
  <c r="B11" i="2"/>
  <c r="D11" i="2"/>
  <c r="A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Q34" i="1"/>
  <c r="Q36" i="1"/>
  <c r="F16" i="1"/>
  <c r="C17" i="1"/>
  <c r="Q32" i="1"/>
  <c r="C12" i="1"/>
  <c r="C11" i="1"/>
  <c r="O34" i="1" l="1"/>
  <c r="O25" i="1"/>
  <c r="O30" i="1"/>
  <c r="O35" i="1"/>
  <c r="O31" i="1"/>
  <c r="O22" i="1"/>
  <c r="O21" i="1"/>
  <c r="O24" i="1"/>
  <c r="O23" i="1"/>
  <c r="O36" i="1"/>
  <c r="C15" i="1"/>
  <c r="O32" i="1"/>
  <c r="O28" i="1"/>
  <c r="O27" i="1"/>
  <c r="O29" i="1"/>
  <c r="O26" i="1"/>
  <c r="O3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<sst xmlns="http://schemas.openxmlformats.org/spreadsheetml/2006/main" count="204" uniqueCount="128">
  <si>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</si>
  <si>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</si>
  <si>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</si>
  <si>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</si>
  <si>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</si>
  <si>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</si>
  <si>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</si>
  <si>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</si>
  <si>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</si>
  <si>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</si>
  <si>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</si>
  <si>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</si>
  <si>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</si>
  <si>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</si>
  <si>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</si>
  <si>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</si>
  <si>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</si>
  <si>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</si>
  <si>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</si>
  <si>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</si>
  <si>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</si>
  <si>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</si>
  <si>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</si>
  <si>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</si>
  <si>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</si>
  <si>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</si>
  <si>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</si>
  <si>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</si>
  <si>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</si>
  <si>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</si>
  <si>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</si>
  <si>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</si>
  <si>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</si>
  <si>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</si>
  <si>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</si>
  <si>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</si>
  <si>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</si>
  <si>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</si>
  <si>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</si>
  <si>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HS Per</t>
  </si>
  <si>
    <t>HS Per / GSC 3692-1540</t>
  </si>
  <si>
    <t>G3692-1540</t>
  </si>
  <si>
    <t>EA</t>
  </si>
  <si>
    <t>Kreiner</t>
  </si>
  <si>
    <t>J.M. Kreiner, 2004, Acta Astronomica, vol. 54, pp 207-210.</t>
  </si>
  <si>
    <t>IBVS 5918</t>
  </si>
  <si>
    <t>I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</si>
  <si>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</si>
  <si>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</si>
  <si>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</si>
  <si>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</si>
  <si>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</si>
  <si>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</si>
  <si>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</si>
  <si>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</si>
  <si>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</si>
  <si>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</si>
  <si>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</si>
  <si>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</si>
  <si>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</si>
  <si>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2428833.417 </t>
  </si>
  <si>
    <t> 26.10.1937 22:00 </t>
  </si>
  <si>
    <t> -0.122 </t>
  </si>
  <si>
    <t>P </t>
  </si>
  <si>
    <t> W.Götz </t>
  </si>
  <si>
    <t> VSS 2.318 </t>
  </si>
  <si>
    <t>2429108.517 </t>
  </si>
  <si>
    <t> 29.07.1938 00:24 </t>
  </si>
  <si>
    <t> -0.187 </t>
  </si>
  <si>
    <t>2429216.363 </t>
  </si>
  <si>
    <t> 13.11.1938 20:42 </t>
  </si>
  <si>
    <t> -0.137 </t>
  </si>
  <si>
    <t>2429576.550 </t>
  </si>
  <si>
    <t> 09.11.1939 01:12 </t>
  </si>
  <si>
    <t> -0.217 </t>
  </si>
  <si>
    <t>2429982.296 </t>
  </si>
  <si>
    <t> 18.12.1940 19:06 </t>
  </si>
  <si>
    <t> -0.126 </t>
  </si>
  <si>
    <t>2430674.412 </t>
  </si>
  <si>
    <t> 10.11.1942 21:53 </t>
  </si>
  <si>
    <t> -0.176 </t>
  </si>
  <si>
    <t>2430813.439 </t>
  </si>
  <si>
    <t> 29.03.1943 22:32 </t>
  </si>
  <si>
    <t> -0.150 </t>
  </si>
  <si>
    <t>2447448.267 </t>
  </si>
  <si>
    <t> 13.10.1988 18:24 </t>
  </si>
  <si>
    <t>E </t>
  </si>
  <si>
    <t>?</t>
  </si>
  <si>
    <t> Zakirov &amp; Azimov </t>
  </si>
  <si>
    <t>IBVS 3754 </t>
  </si>
  <si>
    <t>2448971.617 </t>
  </si>
  <si>
    <t> 15.12.1992 02:48 </t>
  </si>
  <si>
    <t> 0.014 </t>
  </si>
  <si>
    <t>V </t>
  </si>
  <si>
    <t> K.Locher </t>
  </si>
  <si>
    <t> BBS 102 </t>
  </si>
  <si>
    <t>2450988.534 </t>
  </si>
  <si>
    <t> 24.06.1998 00:48 </t>
  </si>
  <si>
    <t> 0.004 </t>
  </si>
  <si>
    <t> BBS 118 </t>
  </si>
  <si>
    <t>2452279.245 </t>
  </si>
  <si>
    <t> 04.01.2002 17:52 </t>
  </si>
  <si>
    <t> -0.004 </t>
  </si>
  <si>
    <t> R.Diethelm </t>
  </si>
  <si>
    <t> BBS 127 </t>
  </si>
  <si>
    <t>2454815.3007 </t>
  </si>
  <si>
    <t> 14.12.2008 19:13 </t>
  </si>
  <si>
    <t> 0.0001 </t>
  </si>
  <si>
    <t>C </t>
  </si>
  <si>
    <t>-I</t>
  </si>
  <si>
    <t> F.Agerer </t>
  </si>
  <si>
    <t>BAVM 203 </t>
  </si>
  <si>
    <t>2454829.4851 </t>
  </si>
  <si>
    <t> 28.12.2008 23:38 </t>
  </si>
  <si>
    <t>821</t>
  </si>
  <si>
    <t> 0.0007 </t>
  </si>
  <si>
    <t>BAVM 209 </t>
  </si>
  <si>
    <t>2455141.5318 </t>
  </si>
  <si>
    <t> 06.11.2009 00:45 </t>
  </si>
  <si>
    <t>931</t>
  </si>
  <si>
    <t> 0.0053 </t>
  </si>
  <si>
    <t>BAVM 212 </t>
  </si>
  <si>
    <t>2455847.8937 </t>
  </si>
  <si>
    <t> 13.10.2011 09:26 </t>
  </si>
  <si>
    <t>1180</t>
  </si>
  <si>
    <t> 0.0173 </t>
  </si>
  <si>
    <t>IBVS 6011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</si>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</sst>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Per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2D-4BBE-B24B-A50B070C92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3">
                  <c:v>7.7199998486321419E-5</c:v>
                </c:pt>
                <c:pt idx="15">
                  <c:v>1.6576000001805369E-2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2D-4BBE-B24B-A50B070C92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2D-4BBE-B24B-A50B070C92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-0.12034759999733069</c:v>
                </c:pt>
                <c:pt idx="1">
                  <c:v>-0.18478719999984605</c:v>
                </c:pt>
                <c:pt idx="2">
                  <c:v>-0.13516560000061872</c:v>
                </c:pt>
                <c:pt idx="3">
                  <c:v>-0.21500920000107726</c:v>
                </c:pt>
                <c:pt idx="4">
                  <c:v>-0.12380160000247997</c:v>
                </c:pt>
                <c:pt idx="5">
                  <c:v>-0.17402080000101705</c:v>
                </c:pt>
                <c:pt idx="6">
                  <c:v>-0.14761400000134017</c:v>
                </c:pt>
                <c:pt idx="7">
                  <c:v>-2.8491999983089045E-3</c:v>
                </c:pt>
                <c:pt idx="8">
                  <c:v>1.4119200001005083E-2</c:v>
                </c:pt>
                <c:pt idx="9">
                  <c:v>4.1444000016781501E-3</c:v>
                </c:pt>
                <c:pt idx="10">
                  <c:v>-4.6495999922626652E-3</c:v>
                </c:pt>
                <c:pt idx="12">
                  <c:v>-5.8880000142380595E-4</c:v>
                </c:pt>
                <c:pt idx="14">
                  <c:v>4.6291999969980679E-3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2D-4BBE-B24B-A50B070C92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2D-4BBE-B24B-A50B070C92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2D-4BBE-B24B-A50B070C92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1">
                    <c:v>0</c:v>
                  </c:pt>
                  <c:pt idx="13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2D-4BBE-B24B-A50B070C92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1.1298609924493304E-2</c:v>
                </c:pt>
                <c:pt idx="1">
                  <c:v>1.1219354069767762E-2</c:v>
                </c:pt>
                <c:pt idx="2">
                  <c:v>1.1188305384411365E-2</c:v>
                </c:pt>
                <c:pt idx="3">
                  <c:v>1.1084537409667614E-2</c:v>
                </c:pt>
                <c:pt idx="4">
                  <c:v>1.0967696304247486E-2</c:v>
                </c:pt>
                <c:pt idx="5">
                  <c:v>1.0768331061432719E-2</c:v>
                </c:pt>
                <c:pt idx="6">
                  <c:v>1.0728294598736313E-2</c:v>
                </c:pt>
                <c:pt idx="7">
                  <c:v>5.936992205843766E-3</c:v>
                </c:pt>
                <c:pt idx="8">
                  <c:v>5.4982252575178281E-3</c:v>
                </c:pt>
                <c:pt idx="9">
                  <c:v>4.91728801308628E-3</c:v>
                </c:pt>
                <c:pt idx="10">
                  <c:v>4.5455208594767796E-3</c:v>
                </c:pt>
                <c:pt idx="11">
                  <c:v>4.4817893474294367E-3</c:v>
                </c:pt>
                <c:pt idx="12">
                  <c:v>3.8150596829341571E-3</c:v>
                </c:pt>
                <c:pt idx="13">
                  <c:v>3.8109743295977891E-3</c:v>
                </c:pt>
                <c:pt idx="14">
                  <c:v>3.7210965561976905E-3</c:v>
                </c:pt>
                <c:pt idx="15">
                  <c:v>3.5176459600465572E-3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2D-4BBE-B24B-A50B070C923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-8343</c:v>
                </c:pt>
                <c:pt idx="1">
                  <c:v>-8246</c:v>
                </c:pt>
                <c:pt idx="2">
                  <c:v>-8208</c:v>
                </c:pt>
                <c:pt idx="3">
                  <c:v>-8081</c:v>
                </c:pt>
                <c:pt idx="4">
                  <c:v>-7938</c:v>
                </c:pt>
                <c:pt idx="5">
                  <c:v>-7694</c:v>
                </c:pt>
                <c:pt idx="6">
                  <c:v>-7645</c:v>
                </c:pt>
                <c:pt idx="7">
                  <c:v>-1781</c:v>
                </c:pt>
                <c:pt idx="8">
                  <c:v>-1244</c:v>
                </c:pt>
                <c:pt idx="9">
                  <c:v>-533</c:v>
                </c:pt>
                <c:pt idx="10">
                  <c:v>-78</c:v>
                </c:pt>
                <c:pt idx="11">
                  <c:v>0</c:v>
                </c:pt>
                <c:pt idx="12">
                  <c:v>816</c:v>
                </c:pt>
                <c:pt idx="13">
                  <c:v>821</c:v>
                </c:pt>
                <c:pt idx="14">
                  <c:v>931</c:v>
                </c:pt>
                <c:pt idx="15">
                  <c:v>1180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2D-4BBE-B24B-A50B070C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149528"/>
        <c:axId val="1"/>
      </c:scatterChart>
      <c:valAx>
        <c:axId val="773149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149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097744360902255"/>
          <c:y val="0.92397937099967764"/>
          <c:w val="0.7458646616541353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078E3F-91B3-E442-638B-18E7CC698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konkoly.hu/cgi-bin/IBVS?3754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  <c r="E1" s="6" t="s">
        <v>39</v>
      </c>
      <c r="F1" t="s">
        <v>41</v>
      </c>
    </row>
    <row r="2" spans="1:6" s="23" customFormat="1" ht="12.95" customHeight="1" x14ac:dyDescent="0.2">
      <c r="A2" s="23" t="s">
        <v>24</v>
      </c>
      <c r="B2" s="23" t="s">
        <v>42</v>
      </c>
      <c r="C2" s="24"/>
      <c r="D2" s="24"/>
      <c r="E2" s="23">
        <v>0</v>
      </c>
    </row>
    <row r="3" spans="1:6" s="23" customFormat="1" ht="12.95" customHeight="1" thickBot="1" x14ac:dyDescent="0.25"/>
    <row r="4" spans="1:6" s="23" customFormat="1" ht="12.95" customHeight="1" thickTop="1" thickBot="1" x14ac:dyDescent="0.25">
      <c r="A4" s="25" t="s">
        <v>0</v>
      </c>
      <c r="C4" s="26">
        <v>52500.515899999999</v>
      </c>
      <c r="D4" s="27">
        <v>2.8367467999999998</v>
      </c>
    </row>
    <row r="5" spans="1:6" s="23" customFormat="1" ht="12.95" customHeight="1" thickTop="1" x14ac:dyDescent="0.2">
      <c r="A5" s="28" t="s">
        <v>29</v>
      </c>
      <c r="C5" s="29">
        <v>-9.5</v>
      </c>
      <c r="D5" s="23" t="s">
        <v>30</v>
      </c>
    </row>
    <row r="6" spans="1:6" s="23" customFormat="1" ht="12.95" customHeight="1" x14ac:dyDescent="0.2">
      <c r="A6" s="25" t="s">
        <v>1</v>
      </c>
      <c r="D6" s="30" t="s">
        <v>44</v>
      </c>
    </row>
    <row r="7" spans="1:6" s="23" customFormat="1" ht="12.95" customHeight="1" x14ac:dyDescent="0.2">
      <c r="A7" s="23" t="s">
        <v>2</v>
      </c>
      <c r="C7" s="23">
        <v>52500.515899999999</v>
      </c>
    </row>
    <row r="8" spans="1:6" s="23" customFormat="1" ht="12.95" customHeight="1" x14ac:dyDescent="0.2">
      <c r="A8" s="23" t="s">
        <v>3</v>
      </c>
      <c r="C8" s="23">
        <v>2.8367467999999998</v>
      </c>
    </row>
    <row r="9" spans="1:6" s="23" customFormat="1" ht="12.95" customHeight="1" x14ac:dyDescent="0.2">
      <c r="A9" s="6" t="s">
        <v>34</v>
      </c>
      <c r="B9" s="31">
        <v>29</v>
      </c>
      <c r="C9" s="32" t="str">
        <f>"F"&amp;B9</f>
        <v>F29</v>
      </c>
      <c r="D9" s="33" t="str">
        <f>"G"&amp;B9</f>
        <v>G29</v>
      </c>
    </row>
    <row r="10" spans="1:6" s="23" customFormat="1" ht="12.95" customHeight="1" thickBot="1" x14ac:dyDescent="0.25">
      <c r="C10" s="34" t="s">
        <v>20</v>
      </c>
      <c r="D10" s="34" t="s">
        <v>21</v>
      </c>
    </row>
    <row r="11" spans="1:6" s="23" customFormat="1" ht="12.95" customHeight="1" x14ac:dyDescent="0.2">
      <c r="A11" s="23" t="s">
        <v>15</v>
      </c>
      <c r="C11" s="33">
        <f ca="1">INTERCEPT(INDIRECT($D$9):G992,INDIRECT($C$9):F992)</f>
        <v>4.4817893474294367E-3</v>
      </c>
      <c r="D11" s="24"/>
    </row>
    <row r="12" spans="1:6" s="23" customFormat="1" ht="12.95" customHeight="1" x14ac:dyDescent="0.2">
      <c r="A12" s="23" t="s">
        <v>16</v>
      </c>
      <c r="C12" s="33">
        <f ca="1">SLOPE(INDIRECT($D$9):G992,INDIRECT($C$9):F992)</f>
        <v>-8.1707066727362667E-7</v>
      </c>
      <c r="D12" s="24"/>
    </row>
    <row r="13" spans="1:6" s="23" customFormat="1" ht="12.95" customHeight="1" x14ac:dyDescent="0.2">
      <c r="A13" s="23" t="s">
        <v>19</v>
      </c>
      <c r="C13" s="24" t="s">
        <v>13</v>
      </c>
    </row>
    <row r="14" spans="1:6" s="23" customFormat="1" ht="12.95" customHeight="1" x14ac:dyDescent="0.2"/>
    <row r="15" spans="1:6" s="23" customFormat="1" ht="12.95" customHeight="1" x14ac:dyDescent="0.2">
      <c r="A15" s="35" t="s">
        <v>17</v>
      </c>
      <c r="C15" s="36">
        <f ca="1">(C7+C11)+(C8+C12)*INT(MAX(F21:F3533))</f>
        <v>55847.880641645963</v>
      </c>
      <c r="E15" s="37" t="s">
        <v>37</v>
      </c>
      <c r="F15" s="29">
        <v>1</v>
      </c>
    </row>
    <row r="16" spans="1:6" s="23" customFormat="1" ht="12.95" customHeight="1" x14ac:dyDescent="0.2">
      <c r="A16" s="25" t="s">
        <v>4</v>
      </c>
      <c r="C16" s="38">
        <f ca="1">+C8+C12</f>
        <v>2.8367459829293327</v>
      </c>
      <c r="E16" s="37" t="s">
        <v>31</v>
      </c>
      <c r="F16" s="39">
        <f ca="1">NOW()+15018.5+$C$5/24</f>
        <v>60372.71621875</v>
      </c>
    </row>
    <row r="17" spans="1:21" s="23" customFormat="1" ht="12.95" customHeight="1" thickBot="1" x14ac:dyDescent="0.25">
      <c r="A17" s="37" t="s">
        <v>28</v>
      </c>
      <c r="C17" s="23">
        <f>COUNT(C21:C2191)</f>
        <v>16</v>
      </c>
      <c r="E17" s="37" t="s">
        <v>38</v>
      </c>
      <c r="F17" s="39">
        <f ca="1">ROUND(2*(F16-$C$7)/$C$8,0)/2+F15</f>
        <v>2776</v>
      </c>
    </row>
    <row r="18" spans="1:21" s="23" customFormat="1" ht="12.95" customHeight="1" thickTop="1" thickBot="1" x14ac:dyDescent="0.25">
      <c r="A18" s="25" t="s">
        <v>5</v>
      </c>
      <c r="C18" s="40">
        <f ca="1">+C15</f>
        <v>55847.880641645963</v>
      </c>
      <c r="D18" s="41">
        <f ca="1">+C16</f>
        <v>2.8367459829293327</v>
      </c>
      <c r="E18" s="37" t="s">
        <v>32</v>
      </c>
      <c r="F18" s="33">
        <f ca="1">ROUND(2*(F16-$C$15)/$C$16,0)/2+F15</f>
        <v>1596</v>
      </c>
    </row>
    <row r="19" spans="1:21" s="23" customFormat="1" ht="12.95" customHeight="1" thickTop="1" x14ac:dyDescent="0.2">
      <c r="E19" s="37" t="s">
        <v>33</v>
      </c>
      <c r="F19" s="42">
        <f ca="1">+$C$15+$C$16*F18-15018.5-$C$5/24</f>
        <v>45357.223063734513</v>
      </c>
    </row>
    <row r="20" spans="1:21" s="23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3" t="s">
        <v>35</v>
      </c>
      <c r="I20" s="43" t="s">
        <v>50</v>
      </c>
      <c r="J20" s="43" t="s">
        <v>18</v>
      </c>
      <c r="K20" s="43" t="s">
        <v>127</v>
      </c>
      <c r="L20" s="43" t="s">
        <v>25</v>
      </c>
      <c r="M20" s="43" t="s">
        <v>26</v>
      </c>
      <c r="N20" s="43" t="s">
        <v>27</v>
      </c>
      <c r="O20" s="43" t="s">
        <v>23</v>
      </c>
      <c r="P20" s="44" t="s">
        <v>22</v>
      </c>
      <c r="Q20" s="34" t="s">
        <v>14</v>
      </c>
      <c r="U20" s="45" t="s">
        <v>36</v>
      </c>
    </row>
    <row r="21" spans="1:21" s="23" customFormat="1" ht="12.95" customHeight="1" x14ac:dyDescent="0.2">
      <c r="A21" s="46" t="s">
        <v>65</v>
      </c>
      <c r="B21" s="47" t="s">
        <v>46</v>
      </c>
      <c r="C21" s="48">
        <v>28833.417000000001</v>
      </c>
      <c r="D21" s="49"/>
      <c r="E21" s="23">
        <f t="shared" ref="E21:E36" si="0">+(C21-C$7)/C$8</f>
        <v>-8343.0424245124723</v>
      </c>
      <c r="F21" s="23">
        <f t="shared" ref="F21:F36" si="1">ROUND(2*E21,0)/2</f>
        <v>-8343</v>
      </c>
      <c r="G21" s="23">
        <f t="shared" ref="G21:G36" si="2">+C21-(C$7+F21*C$8)</f>
        <v>-0.12034759999733069</v>
      </c>
      <c r="K21" s="23">
        <f t="shared" ref="K21:K31" si="3">+G21</f>
        <v>-0.12034759999733069</v>
      </c>
      <c r="O21" s="23">
        <f t="shared" ref="O21:O36" ca="1" si="4">+C$11+C$12*$F21</f>
        <v>1.1298609924493304E-2</v>
      </c>
      <c r="Q21" s="50">
        <f t="shared" ref="Q21:Q36" si="5">+C21-15018.5</f>
        <v>13814.917000000001</v>
      </c>
    </row>
    <row r="22" spans="1:21" s="23" customFormat="1" ht="12.95" customHeight="1" x14ac:dyDescent="0.2">
      <c r="A22" s="46" t="s">
        <v>65</v>
      </c>
      <c r="B22" s="47" t="s">
        <v>46</v>
      </c>
      <c r="C22" s="48">
        <v>29108.517</v>
      </c>
      <c r="D22" s="49"/>
      <c r="E22" s="23">
        <f t="shared" si="0"/>
        <v>-8246.0651405335157</v>
      </c>
      <c r="F22" s="23">
        <f t="shared" si="1"/>
        <v>-8246</v>
      </c>
      <c r="G22" s="23">
        <f t="shared" si="2"/>
        <v>-0.18478719999984605</v>
      </c>
      <c r="K22" s="23">
        <f t="shared" si="3"/>
        <v>-0.18478719999984605</v>
      </c>
      <c r="O22" s="23">
        <f t="shared" ca="1" si="4"/>
        <v>1.1219354069767762E-2</v>
      </c>
      <c r="Q22" s="50">
        <f t="shared" si="5"/>
        <v>14090.017</v>
      </c>
    </row>
    <row r="23" spans="1:21" s="23" customFormat="1" ht="12.95" customHeight="1" x14ac:dyDescent="0.2">
      <c r="A23" s="46" t="s">
        <v>65</v>
      </c>
      <c r="B23" s="47" t="s">
        <v>46</v>
      </c>
      <c r="C23" s="48">
        <v>29216.363000000001</v>
      </c>
      <c r="D23" s="49"/>
      <c r="E23" s="23">
        <f t="shared" si="0"/>
        <v>-8208.0476481016922</v>
      </c>
      <c r="F23" s="23">
        <f t="shared" si="1"/>
        <v>-8208</v>
      </c>
      <c r="G23" s="23">
        <f t="shared" si="2"/>
        <v>-0.13516560000061872</v>
      </c>
      <c r="K23" s="23">
        <f t="shared" si="3"/>
        <v>-0.13516560000061872</v>
      </c>
      <c r="O23" s="23">
        <f t="shared" ca="1" si="4"/>
        <v>1.1188305384411365E-2</v>
      </c>
      <c r="Q23" s="50">
        <f t="shared" si="5"/>
        <v>14197.863000000001</v>
      </c>
    </row>
    <row r="24" spans="1:21" s="23" customFormat="1" ht="12.95" customHeight="1" x14ac:dyDescent="0.2">
      <c r="A24" s="46" t="s">
        <v>65</v>
      </c>
      <c r="B24" s="47" t="s">
        <v>46</v>
      </c>
      <c r="C24" s="48">
        <v>29576.55</v>
      </c>
      <c r="D24" s="49"/>
      <c r="E24" s="23">
        <f t="shared" si="0"/>
        <v>-8081.0757942866103</v>
      </c>
      <c r="F24" s="23">
        <f t="shared" si="1"/>
        <v>-8081</v>
      </c>
      <c r="G24" s="23">
        <f t="shared" si="2"/>
        <v>-0.21500920000107726</v>
      </c>
      <c r="K24" s="23">
        <f t="shared" si="3"/>
        <v>-0.21500920000107726</v>
      </c>
      <c r="O24" s="23">
        <f t="shared" ca="1" si="4"/>
        <v>1.1084537409667614E-2</v>
      </c>
      <c r="Q24" s="50">
        <f t="shared" si="5"/>
        <v>14558.05</v>
      </c>
    </row>
    <row r="25" spans="1:21" s="23" customFormat="1" ht="12.95" customHeight="1" x14ac:dyDescent="0.2">
      <c r="A25" s="46" t="s">
        <v>65</v>
      </c>
      <c r="B25" s="47" t="s">
        <v>46</v>
      </c>
      <c r="C25" s="48">
        <v>29982.295999999998</v>
      </c>
      <c r="D25" s="49"/>
      <c r="E25" s="23">
        <f t="shared" si="0"/>
        <v>-7938.0436421043996</v>
      </c>
      <c r="F25" s="23">
        <f t="shared" si="1"/>
        <v>-7938</v>
      </c>
      <c r="G25" s="23">
        <f t="shared" si="2"/>
        <v>-0.12380160000247997</v>
      </c>
      <c r="K25" s="23">
        <f t="shared" si="3"/>
        <v>-0.12380160000247997</v>
      </c>
      <c r="O25" s="23">
        <f t="shared" ca="1" si="4"/>
        <v>1.0967696304247486E-2</v>
      </c>
      <c r="Q25" s="50">
        <f t="shared" si="5"/>
        <v>14963.795999999998</v>
      </c>
    </row>
    <row r="26" spans="1:21" s="23" customFormat="1" ht="12.95" customHeight="1" x14ac:dyDescent="0.2">
      <c r="A26" s="46" t="s">
        <v>65</v>
      </c>
      <c r="B26" s="47" t="s">
        <v>46</v>
      </c>
      <c r="C26" s="48">
        <v>30674.412</v>
      </c>
      <c r="D26" s="49"/>
      <c r="E26" s="23">
        <f t="shared" si="0"/>
        <v>-7694.0613452000725</v>
      </c>
      <c r="F26" s="23">
        <f t="shared" si="1"/>
        <v>-7694</v>
      </c>
      <c r="G26" s="23">
        <f t="shared" si="2"/>
        <v>-0.17402080000101705</v>
      </c>
      <c r="K26" s="23">
        <f t="shared" si="3"/>
        <v>-0.17402080000101705</v>
      </c>
      <c r="O26" s="23">
        <f t="shared" ca="1" si="4"/>
        <v>1.0768331061432719E-2</v>
      </c>
      <c r="Q26" s="50">
        <f t="shared" si="5"/>
        <v>15655.912</v>
      </c>
    </row>
    <row r="27" spans="1:21" s="23" customFormat="1" ht="12.95" customHeight="1" x14ac:dyDescent="0.2">
      <c r="A27" s="46" t="s">
        <v>65</v>
      </c>
      <c r="B27" s="47" t="s">
        <v>46</v>
      </c>
      <c r="C27" s="48">
        <v>30813.438999999998</v>
      </c>
      <c r="D27" s="49"/>
      <c r="E27" s="23">
        <f t="shared" si="0"/>
        <v>-7645.052036367857</v>
      </c>
      <c r="F27" s="23">
        <f t="shared" si="1"/>
        <v>-7645</v>
      </c>
      <c r="G27" s="23">
        <f t="shared" si="2"/>
        <v>-0.14761400000134017</v>
      </c>
      <c r="K27" s="23">
        <f t="shared" si="3"/>
        <v>-0.14761400000134017</v>
      </c>
      <c r="O27" s="23">
        <f t="shared" ca="1" si="4"/>
        <v>1.0728294598736313E-2</v>
      </c>
      <c r="Q27" s="50">
        <f t="shared" si="5"/>
        <v>15794.938999999998</v>
      </c>
    </row>
    <row r="28" spans="1:21" s="23" customFormat="1" ht="12.95" customHeight="1" x14ac:dyDescent="0.2">
      <c r="A28" s="46" t="s">
        <v>89</v>
      </c>
      <c r="B28" s="47" t="s">
        <v>46</v>
      </c>
      <c r="C28" s="48">
        <v>47448.267</v>
      </c>
      <c r="D28" s="49"/>
      <c r="E28" s="23">
        <f t="shared" si="0"/>
        <v>-1781.0010043899579</v>
      </c>
      <c r="F28" s="23">
        <f t="shared" si="1"/>
        <v>-1781</v>
      </c>
      <c r="G28" s="23">
        <f t="shared" si="2"/>
        <v>-2.8491999983089045E-3</v>
      </c>
      <c r="K28" s="23">
        <f t="shared" si="3"/>
        <v>-2.8491999983089045E-3</v>
      </c>
      <c r="O28" s="23">
        <f t="shared" ca="1" si="4"/>
        <v>5.936992205843766E-3</v>
      </c>
      <c r="Q28" s="50">
        <f t="shared" si="5"/>
        <v>32429.767</v>
      </c>
    </row>
    <row r="29" spans="1:21" s="23" customFormat="1" ht="12.95" customHeight="1" x14ac:dyDescent="0.2">
      <c r="A29" s="46" t="s">
        <v>95</v>
      </c>
      <c r="B29" s="47" t="s">
        <v>46</v>
      </c>
      <c r="C29" s="48">
        <v>48971.616999999998</v>
      </c>
      <c r="D29" s="49"/>
      <c r="E29" s="23">
        <f t="shared" si="0"/>
        <v>-1243.9950227492986</v>
      </c>
      <c r="F29" s="23">
        <f t="shared" si="1"/>
        <v>-1244</v>
      </c>
      <c r="G29" s="23">
        <f t="shared" si="2"/>
        <v>1.4119200001005083E-2</v>
      </c>
      <c r="K29" s="23">
        <f t="shared" si="3"/>
        <v>1.4119200001005083E-2</v>
      </c>
      <c r="O29" s="23">
        <f t="shared" ca="1" si="4"/>
        <v>5.4982252575178281E-3</v>
      </c>
      <c r="Q29" s="50">
        <f t="shared" si="5"/>
        <v>33953.116999999998</v>
      </c>
    </row>
    <row r="30" spans="1:21" s="23" customFormat="1" ht="12.95" customHeight="1" x14ac:dyDescent="0.2">
      <c r="A30" s="46" t="s">
        <v>99</v>
      </c>
      <c r="B30" s="47" t="s">
        <v>46</v>
      </c>
      <c r="C30" s="48">
        <v>50988.534</v>
      </c>
      <c r="D30" s="49"/>
      <c r="E30" s="23">
        <f t="shared" si="0"/>
        <v>-532.99853903069493</v>
      </c>
      <c r="F30" s="23">
        <f t="shared" si="1"/>
        <v>-533</v>
      </c>
      <c r="G30" s="23">
        <f t="shared" si="2"/>
        <v>4.1444000016781501E-3</v>
      </c>
      <c r="K30" s="23">
        <f t="shared" si="3"/>
        <v>4.1444000016781501E-3</v>
      </c>
      <c r="O30" s="23">
        <f t="shared" ca="1" si="4"/>
        <v>4.91728801308628E-3</v>
      </c>
      <c r="Q30" s="50">
        <f t="shared" si="5"/>
        <v>35970.034</v>
      </c>
    </row>
    <row r="31" spans="1:21" s="23" customFormat="1" ht="12.95" customHeight="1" x14ac:dyDescent="0.2">
      <c r="A31" s="46" t="s">
        <v>104</v>
      </c>
      <c r="B31" s="47" t="s">
        <v>46</v>
      </c>
      <c r="C31" s="48">
        <v>52279.245000000003</v>
      </c>
      <c r="D31" s="49"/>
      <c r="E31" s="23">
        <f t="shared" si="0"/>
        <v>-78.001639060629557</v>
      </c>
      <c r="F31" s="23">
        <f t="shared" si="1"/>
        <v>-78</v>
      </c>
      <c r="G31" s="23">
        <f t="shared" si="2"/>
        <v>-4.6495999922626652E-3</v>
      </c>
      <c r="K31" s="23">
        <f t="shared" si="3"/>
        <v>-4.6495999922626652E-3</v>
      </c>
      <c r="O31" s="23">
        <f t="shared" ca="1" si="4"/>
        <v>4.5455208594767796E-3</v>
      </c>
      <c r="Q31" s="50">
        <f t="shared" si="5"/>
        <v>37260.745000000003</v>
      </c>
    </row>
    <row r="32" spans="1:21" s="23" customFormat="1" ht="12.95" customHeight="1" x14ac:dyDescent="0.2">
      <c r="A32" s="23" t="s">
        <v>43</v>
      </c>
      <c r="C32" s="49">
        <v>52500.515899999999</v>
      </c>
      <c r="D32" s="49" t="s">
        <v>13</v>
      </c>
      <c r="E32" s="23">
        <f t="shared" si="0"/>
        <v>0</v>
      </c>
      <c r="F32" s="23">
        <f t="shared" si="1"/>
        <v>0</v>
      </c>
      <c r="G32" s="23">
        <f t="shared" si="2"/>
        <v>0</v>
      </c>
      <c r="H32" s="23">
        <f>+G32</f>
        <v>0</v>
      </c>
      <c r="O32" s="23">
        <f t="shared" ca="1" si="4"/>
        <v>4.4817893474294367E-3</v>
      </c>
      <c r="Q32" s="50">
        <f t="shared" si="5"/>
        <v>37482.015899999999</v>
      </c>
    </row>
    <row r="33" spans="1:17" s="23" customFormat="1" ht="12.95" customHeight="1" x14ac:dyDescent="0.2">
      <c r="A33" s="46" t="s">
        <v>111</v>
      </c>
      <c r="B33" s="47" t="s">
        <v>46</v>
      </c>
      <c r="C33" s="48">
        <v>54815.3007</v>
      </c>
      <c r="D33" s="49"/>
      <c r="E33" s="23">
        <f t="shared" si="0"/>
        <v>815.99979243829637</v>
      </c>
      <c r="F33" s="23">
        <f t="shared" si="1"/>
        <v>816</v>
      </c>
      <c r="G33" s="23">
        <f t="shared" si="2"/>
        <v>-5.8880000142380595E-4</v>
      </c>
      <c r="K33" s="23">
        <f>+G33</f>
        <v>-5.8880000142380595E-4</v>
      </c>
      <c r="O33" s="23">
        <f t="shared" ca="1" si="4"/>
        <v>3.8150596829341571E-3</v>
      </c>
      <c r="Q33" s="50">
        <f t="shared" si="5"/>
        <v>39796.8007</v>
      </c>
    </row>
    <row r="34" spans="1:17" s="23" customFormat="1" ht="12.95" customHeight="1" x14ac:dyDescent="0.2">
      <c r="A34" s="7" t="s">
        <v>45</v>
      </c>
      <c r="B34" s="8" t="s">
        <v>46</v>
      </c>
      <c r="C34" s="7">
        <v>54829.485099999998</v>
      </c>
      <c r="D34" s="22">
        <v>2.0000000000000001E-4</v>
      </c>
      <c r="E34" s="23">
        <f t="shared" si="0"/>
        <v>821.00002721427222</v>
      </c>
      <c r="F34" s="23">
        <f t="shared" si="1"/>
        <v>821</v>
      </c>
      <c r="G34" s="23">
        <f t="shared" si="2"/>
        <v>7.7199998486321419E-5</v>
      </c>
      <c r="I34" s="23">
        <f>+G34</f>
        <v>7.7199998486321419E-5</v>
      </c>
      <c r="O34" s="23">
        <f t="shared" ca="1" si="4"/>
        <v>3.8109743295977891E-3</v>
      </c>
      <c r="Q34" s="50">
        <f t="shared" si="5"/>
        <v>39810.985099999998</v>
      </c>
    </row>
    <row r="35" spans="1:17" s="23" customFormat="1" ht="12.95" customHeight="1" x14ac:dyDescent="0.2">
      <c r="A35" s="46" t="s">
        <v>121</v>
      </c>
      <c r="B35" s="47" t="s">
        <v>46</v>
      </c>
      <c r="C35" s="48">
        <v>55141.531799999997</v>
      </c>
      <c r="D35" s="49"/>
      <c r="E35" s="23">
        <f t="shared" si="0"/>
        <v>931.00163186929433</v>
      </c>
      <c r="F35" s="23">
        <f t="shared" si="1"/>
        <v>931</v>
      </c>
      <c r="G35" s="23">
        <f t="shared" si="2"/>
        <v>4.6291999969980679E-3</v>
      </c>
      <c r="K35" s="23">
        <f>+G35</f>
        <v>4.6291999969980679E-3</v>
      </c>
      <c r="O35" s="23">
        <f t="shared" ca="1" si="4"/>
        <v>3.7210965561976905E-3</v>
      </c>
      <c r="Q35" s="50">
        <f t="shared" si="5"/>
        <v>40123.031799999997</v>
      </c>
    </row>
    <row r="36" spans="1:17" x14ac:dyDescent="0.2">
      <c r="A36" s="7" t="s">
        <v>47</v>
      </c>
      <c r="B36" s="8" t="s">
        <v>46</v>
      </c>
      <c r="C36" s="7">
        <v>55847.893700000001</v>
      </c>
      <c r="D36" s="7">
        <v>2.0000000000000001E-4</v>
      </c>
      <c r="E36">
        <f t="shared" si="0"/>
        <v>1180.0058433131933</v>
      </c>
      <c r="F36">
        <f t="shared" si="1"/>
        <v>1180</v>
      </c>
      <c r="G36">
        <f t="shared" si="2"/>
        <v>1.6576000001805369E-2</v>
      </c>
      <c r="I36">
        <f>+G36</f>
        <v>1.6576000001805369E-2</v>
      </c>
      <c r="O36">
        <f t="shared" ca="1" si="4"/>
        <v>3.5176459600465572E-3</v>
      </c>
      <c r="Q36" s="2">
        <f t="shared" si="5"/>
        <v>40829.393700000001</v>
      </c>
    </row>
    <row r="37" spans="1:17" x14ac:dyDescent="0.2">
      <c r="B37" s="3"/>
      <c r="C37" s="4"/>
      <c r="D37" s="4"/>
    </row>
    <row r="38" spans="1:17" x14ac:dyDescent="0.2">
      <c r="C38" s="4"/>
      <c r="D38" s="4"/>
    </row>
    <row r="39" spans="1:17" x14ac:dyDescent="0.2">
      <c r="C39" s="4"/>
      <c r="D39" s="4"/>
    </row>
    <row r="40" spans="1:17" x14ac:dyDescent="0.2">
      <c r="C40" s="4"/>
      <c r="D40" s="4"/>
    </row>
    <row r="41" spans="1:17" x14ac:dyDescent="0.2">
      <c r="C41" s="4"/>
      <c r="D41" s="4"/>
    </row>
    <row r="42" spans="1:17" x14ac:dyDescent="0.2">
      <c r="C42" s="4"/>
      <c r="D42" s="4"/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workbookViewId="0">
      <selection activeCell="A13" sqref="A13:C25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9" t="s">
        <v>48</v>
      </c>
      <c r="I1" s="10" t="s">
        <v>49</v>
      </c>
      <c r="J1" s="11" t="s">
        <v>50</v>
      </c>
    </row>
    <row r="2" spans="1:16" x14ac:dyDescent="0.2">
      <c r="I2" s="12" t="s">
        <v>51</v>
      </c>
      <c r="J2" s="13" t="s">
        <v>52</v>
      </c>
    </row>
    <row r="3" spans="1:16" x14ac:dyDescent="0.2">
      <c r="A3" s="14" t="s">
        <v>53</v>
      </c>
      <c r="I3" s="12" t="s">
        <v>54</v>
      </c>
      <c r="J3" s="13" t="s">
        <v>55</v>
      </c>
    </row>
    <row r="4" spans="1:16" x14ac:dyDescent="0.2">
      <c r="I4" s="12" t="s">
        <v>56</v>
      </c>
      <c r="J4" s="13" t="s">
        <v>55</v>
      </c>
    </row>
    <row r="5" spans="1:16" ht="13.5" thickBot="1" x14ac:dyDescent="0.25">
      <c r="I5" s="15" t="s">
        <v>57</v>
      </c>
      <c r="J5" s="16" t="s">
        <v>58</v>
      </c>
    </row>
    <row r="10" spans="1:16" ht="13.5" thickBot="1" x14ac:dyDescent="0.25"/>
    <row r="11" spans="1:16" ht="12.75" customHeight="1" thickBot="1" x14ac:dyDescent="0.25">
      <c r="A11" s="4" t="str">
        <f t="shared" ref="A11:A25" si="0">P11</f>
        <v>BAVM 209 </v>
      </c>
      <c r="B11" s="3" t="str">
        <f t="shared" ref="B11:B25" si="1">IF(H11=INT(H11),"I","II")</f>
        <v>I</v>
      </c>
      <c r="C11" s="4">
        <f t="shared" ref="C11:C25" si="2">1*G11</f>
        <v>54829.485099999998</v>
      </c>
      <c r="D11" s="5" t="str">
        <f t="shared" ref="D11:D25" si="3">VLOOKUP(F11,I$1:J$5,2,FALSE)</f>
        <v>vis</v>
      </c>
      <c r="E11" s="17">
        <f>VLOOKUP(C11,Active!C$21:E$973,3,FALSE)</f>
        <v>821.00002721427222</v>
      </c>
      <c r="F11" s="3" t="s">
        <v>57</v>
      </c>
      <c r="G11" s="5" t="str">
        <f t="shared" ref="G11:G25" si="4">MID(I11,3,LEN(I11)-3)</f>
        <v>54829.4851</v>
      </c>
      <c r="H11" s="4">
        <f t="shared" ref="H11:H25" si="5">1*K11</f>
        <v>821</v>
      </c>
      <c r="I11" s="18" t="s">
        <v>112</v>
      </c>
      <c r="J11" s="19" t="s">
        <v>113</v>
      </c>
      <c r="K11" s="18" t="s">
        <v>114</v>
      </c>
      <c r="L11" s="18" t="s">
        <v>115</v>
      </c>
      <c r="M11" s="19" t="s">
        <v>108</v>
      </c>
      <c r="N11" s="19" t="s">
        <v>109</v>
      </c>
      <c r="O11" s="20" t="s">
        <v>110</v>
      </c>
      <c r="P11" s="21" t="s">
        <v>116</v>
      </c>
    </row>
    <row r="12" spans="1:16" ht="12.75" customHeight="1" thickBot="1" x14ac:dyDescent="0.25">
      <c r="A12" s="4" t="str">
        <f t="shared" si="0"/>
        <v>IBVS 6011 </v>
      </c>
      <c r="B12" s="3" t="str">
        <f t="shared" si="1"/>
        <v>I</v>
      </c>
      <c r="C12" s="4">
        <f t="shared" si="2"/>
        <v>55847.893700000001</v>
      </c>
      <c r="D12" s="5" t="str">
        <f t="shared" si="3"/>
        <v>vis</v>
      </c>
      <c r="E12" s="17">
        <f>VLOOKUP(C12,Active!C$21:E$973,3,FALSE)</f>
        <v>1180.0058433131933</v>
      </c>
      <c r="F12" s="3" t="s">
        <v>57</v>
      </c>
      <c r="G12" s="5" t="str">
        <f t="shared" si="4"/>
        <v>55847.8937</v>
      </c>
      <c r="H12" s="4">
        <f t="shared" si="5"/>
        <v>1180</v>
      </c>
      <c r="I12" s="18" t="s">
        <v>122</v>
      </c>
      <c r="J12" s="19" t="s">
        <v>123</v>
      </c>
      <c r="K12" s="18" t="s">
        <v>124</v>
      </c>
      <c r="L12" s="18" t="s">
        <v>125</v>
      </c>
      <c r="M12" s="19" t="s">
        <v>108</v>
      </c>
      <c r="N12" s="19" t="s">
        <v>57</v>
      </c>
      <c r="O12" s="20" t="s">
        <v>103</v>
      </c>
      <c r="P12" s="21" t="s">
        <v>126</v>
      </c>
    </row>
    <row r="13" spans="1:16" ht="12.75" customHeight="1" thickBot="1" x14ac:dyDescent="0.25">
      <c r="A13" s="4" t="str">
        <f t="shared" si="0"/>
        <v> VSS 2.318 </v>
      </c>
      <c r="B13" s="3" t="str">
        <f t="shared" si="1"/>
        <v>I</v>
      </c>
      <c r="C13" s="4">
        <f t="shared" si="2"/>
        <v>28833.417000000001</v>
      </c>
      <c r="D13" s="5" t="str">
        <f t="shared" si="3"/>
        <v>vis</v>
      </c>
      <c r="E13" s="17">
        <f>VLOOKUP(C13,Active!C$21:E$973,3,FALSE)</f>
        <v>-8343.0424245124723</v>
      </c>
      <c r="F13" s="3" t="s">
        <v>57</v>
      </c>
      <c r="G13" s="5" t="str">
        <f t="shared" si="4"/>
        <v>28833.417</v>
      </c>
      <c r="H13" s="4">
        <f t="shared" si="5"/>
        <v>-8343</v>
      </c>
      <c r="I13" s="18" t="s">
        <v>60</v>
      </c>
      <c r="J13" s="19" t="s">
        <v>61</v>
      </c>
      <c r="K13" s="18">
        <v>-8343</v>
      </c>
      <c r="L13" s="18" t="s">
        <v>62</v>
      </c>
      <c r="M13" s="19" t="s">
        <v>63</v>
      </c>
      <c r="N13" s="19"/>
      <c r="O13" s="20" t="s">
        <v>64</v>
      </c>
      <c r="P13" s="20" t="s">
        <v>65</v>
      </c>
    </row>
    <row r="14" spans="1:16" ht="12.75" customHeight="1" thickBot="1" x14ac:dyDescent="0.25">
      <c r="A14" s="4" t="str">
        <f t="shared" si="0"/>
        <v> VSS 2.318 </v>
      </c>
      <c r="B14" s="3" t="str">
        <f t="shared" si="1"/>
        <v>I</v>
      </c>
      <c r="C14" s="4">
        <f t="shared" si="2"/>
        <v>29108.517</v>
      </c>
      <c r="D14" s="5" t="str">
        <f t="shared" si="3"/>
        <v>vis</v>
      </c>
      <c r="E14" s="17">
        <f>VLOOKUP(C14,Active!C$21:E$973,3,FALSE)</f>
        <v>-8246.0651405335157</v>
      </c>
      <c r="F14" s="3" t="s">
        <v>57</v>
      </c>
      <c r="G14" s="5" t="str">
        <f t="shared" si="4"/>
        <v>29108.517</v>
      </c>
      <c r="H14" s="4">
        <f t="shared" si="5"/>
        <v>-8246</v>
      </c>
      <c r="I14" s="18" t="s">
        <v>66</v>
      </c>
      <c r="J14" s="19" t="s">
        <v>67</v>
      </c>
      <c r="K14" s="18">
        <v>-8246</v>
      </c>
      <c r="L14" s="18" t="s">
        <v>68</v>
      </c>
      <c r="M14" s="19" t="s">
        <v>63</v>
      </c>
      <c r="N14" s="19"/>
      <c r="O14" s="20" t="s">
        <v>64</v>
      </c>
      <c r="P14" s="20" t="s">
        <v>65</v>
      </c>
    </row>
    <row r="15" spans="1:16" ht="12.75" customHeight="1" thickBot="1" x14ac:dyDescent="0.25">
      <c r="A15" s="4" t="str">
        <f t="shared" si="0"/>
        <v> VSS 2.318 </v>
      </c>
      <c r="B15" s="3" t="str">
        <f t="shared" si="1"/>
        <v>I</v>
      </c>
      <c r="C15" s="4">
        <f t="shared" si="2"/>
        <v>29216.363000000001</v>
      </c>
      <c r="D15" s="5" t="str">
        <f t="shared" si="3"/>
        <v>vis</v>
      </c>
      <c r="E15" s="17">
        <f>VLOOKUP(C15,Active!C$21:E$973,3,FALSE)</f>
        <v>-8208.0476481016922</v>
      </c>
      <c r="F15" s="3" t="s">
        <v>57</v>
      </c>
      <c r="G15" s="5" t="str">
        <f t="shared" si="4"/>
        <v>29216.363</v>
      </c>
      <c r="H15" s="4">
        <f t="shared" si="5"/>
        <v>-8208</v>
      </c>
      <c r="I15" s="18" t="s">
        <v>69</v>
      </c>
      <c r="J15" s="19" t="s">
        <v>70</v>
      </c>
      <c r="K15" s="18">
        <v>-8208</v>
      </c>
      <c r="L15" s="18" t="s">
        <v>71</v>
      </c>
      <c r="M15" s="19" t="s">
        <v>63</v>
      </c>
      <c r="N15" s="19"/>
      <c r="O15" s="20" t="s">
        <v>64</v>
      </c>
      <c r="P15" s="20" t="s">
        <v>65</v>
      </c>
    </row>
    <row r="16" spans="1:16" ht="12.75" customHeight="1" thickBot="1" x14ac:dyDescent="0.25">
      <c r="A16" s="4" t="str">
        <f t="shared" si="0"/>
        <v> VSS 2.318 </v>
      </c>
      <c r="B16" s="3" t="str">
        <f t="shared" si="1"/>
        <v>I</v>
      </c>
      <c r="C16" s="4">
        <f t="shared" si="2"/>
        <v>29576.55</v>
      </c>
      <c r="D16" s="5" t="str">
        <f t="shared" si="3"/>
        <v>vis</v>
      </c>
      <c r="E16" s="17">
        <f>VLOOKUP(C16,Active!C$21:E$973,3,FALSE)</f>
        <v>-8081.0757942866103</v>
      </c>
      <c r="F16" s="3" t="s">
        <v>57</v>
      </c>
      <c r="G16" s="5" t="str">
        <f t="shared" si="4"/>
        <v>29576.550</v>
      </c>
      <c r="H16" s="4">
        <f t="shared" si="5"/>
        <v>-8081</v>
      </c>
      <c r="I16" s="18" t="s">
        <v>72</v>
      </c>
      <c r="J16" s="19" t="s">
        <v>73</v>
      </c>
      <c r="K16" s="18">
        <v>-8081</v>
      </c>
      <c r="L16" s="18" t="s">
        <v>74</v>
      </c>
      <c r="M16" s="19" t="s">
        <v>63</v>
      </c>
      <c r="N16" s="19"/>
      <c r="O16" s="20" t="s">
        <v>64</v>
      </c>
      <c r="P16" s="20" t="s">
        <v>65</v>
      </c>
    </row>
    <row r="17" spans="1:16" ht="12.75" customHeight="1" thickBot="1" x14ac:dyDescent="0.25">
      <c r="A17" s="4" t="str">
        <f t="shared" si="0"/>
        <v> VSS 2.318 </v>
      </c>
      <c r="B17" s="3" t="str">
        <f t="shared" si="1"/>
        <v>I</v>
      </c>
      <c r="C17" s="4">
        <f t="shared" si="2"/>
        <v>29982.295999999998</v>
      </c>
      <c r="D17" s="5" t="str">
        <f t="shared" si="3"/>
        <v>vis</v>
      </c>
      <c r="E17" s="17">
        <f>VLOOKUP(C17,Active!C$21:E$973,3,FALSE)</f>
        <v>-7938.0436421043996</v>
      </c>
      <c r="F17" s="3" t="s">
        <v>57</v>
      </c>
      <c r="G17" s="5" t="str">
        <f t="shared" si="4"/>
        <v>29982.296</v>
      </c>
      <c r="H17" s="4">
        <f t="shared" si="5"/>
        <v>-7938</v>
      </c>
      <c r="I17" s="18" t="s">
        <v>75</v>
      </c>
      <c r="J17" s="19" t="s">
        <v>76</v>
      </c>
      <c r="K17" s="18">
        <v>-7938</v>
      </c>
      <c r="L17" s="18" t="s">
        <v>77</v>
      </c>
      <c r="M17" s="19" t="s">
        <v>63</v>
      </c>
      <c r="N17" s="19"/>
      <c r="O17" s="20" t="s">
        <v>64</v>
      </c>
      <c r="P17" s="20" t="s">
        <v>65</v>
      </c>
    </row>
    <row r="18" spans="1:16" ht="12.75" customHeight="1" thickBot="1" x14ac:dyDescent="0.25">
      <c r="A18" s="4" t="str">
        <f t="shared" si="0"/>
        <v> VSS 2.318 </v>
      </c>
      <c r="B18" s="3" t="str">
        <f t="shared" si="1"/>
        <v>I</v>
      </c>
      <c r="C18" s="4">
        <f t="shared" si="2"/>
        <v>30674.412</v>
      </c>
      <c r="D18" s="5" t="str">
        <f t="shared" si="3"/>
        <v>vis</v>
      </c>
      <c r="E18" s="17">
        <f>VLOOKUP(C18,Active!C$21:E$973,3,FALSE)</f>
        <v>-7694.0613452000725</v>
      </c>
      <c r="F18" s="3" t="s">
        <v>57</v>
      </c>
      <c r="G18" s="5" t="str">
        <f t="shared" si="4"/>
        <v>30674.412</v>
      </c>
      <c r="H18" s="4">
        <f t="shared" si="5"/>
        <v>-7694</v>
      </c>
      <c r="I18" s="18" t="s">
        <v>78</v>
      </c>
      <c r="J18" s="19" t="s">
        <v>79</v>
      </c>
      <c r="K18" s="18">
        <v>-7694</v>
      </c>
      <c r="L18" s="18" t="s">
        <v>80</v>
      </c>
      <c r="M18" s="19" t="s">
        <v>63</v>
      </c>
      <c r="N18" s="19"/>
      <c r="O18" s="20" t="s">
        <v>64</v>
      </c>
      <c r="P18" s="20" t="s">
        <v>65</v>
      </c>
    </row>
    <row r="19" spans="1:16" ht="12.75" customHeight="1" thickBot="1" x14ac:dyDescent="0.25">
      <c r="A19" s="4" t="str">
        <f t="shared" si="0"/>
        <v> VSS 2.318 </v>
      </c>
      <c r="B19" s="3" t="str">
        <f t="shared" si="1"/>
        <v>I</v>
      </c>
      <c r="C19" s="4">
        <f t="shared" si="2"/>
        <v>30813.438999999998</v>
      </c>
      <c r="D19" s="5" t="str">
        <f t="shared" si="3"/>
        <v>vis</v>
      </c>
      <c r="E19" s="17">
        <f>VLOOKUP(C19,Active!C$21:E$973,3,FALSE)</f>
        <v>-7645.052036367857</v>
      </c>
      <c r="F19" s="3" t="s">
        <v>57</v>
      </c>
      <c r="G19" s="5" t="str">
        <f t="shared" si="4"/>
        <v>30813.439</v>
      </c>
      <c r="H19" s="4">
        <f t="shared" si="5"/>
        <v>-7645</v>
      </c>
      <c r="I19" s="18" t="s">
        <v>81</v>
      </c>
      <c r="J19" s="19" t="s">
        <v>82</v>
      </c>
      <c r="K19" s="18">
        <v>-7645</v>
      </c>
      <c r="L19" s="18" t="s">
        <v>83</v>
      </c>
      <c r="M19" s="19" t="s">
        <v>63</v>
      </c>
      <c r="N19" s="19"/>
      <c r="O19" s="20" t="s">
        <v>64</v>
      </c>
      <c r="P19" s="20" t="s">
        <v>65</v>
      </c>
    </row>
    <row r="20" spans="1:16" ht="12.75" customHeight="1" thickBot="1" x14ac:dyDescent="0.25">
      <c r="A20" s="4" t="str">
        <f t="shared" si="0"/>
        <v>IBVS 3754 </v>
      </c>
      <c r="B20" s="3" t="str">
        <f t="shared" si="1"/>
        <v>I</v>
      </c>
      <c r="C20" s="4">
        <f t="shared" si="2"/>
        <v>47448.267</v>
      </c>
      <c r="D20" s="5" t="str">
        <f t="shared" si="3"/>
        <v>vis</v>
      </c>
      <c r="E20" s="17">
        <f>VLOOKUP(C20,Active!C$21:E$973,3,FALSE)</f>
        <v>-1781.0010043899579</v>
      </c>
      <c r="F20" s="3" t="s">
        <v>57</v>
      </c>
      <c r="G20" s="5" t="str">
        <f t="shared" si="4"/>
        <v>47448.267</v>
      </c>
      <c r="H20" s="4">
        <f t="shared" si="5"/>
        <v>-1781</v>
      </c>
      <c r="I20" s="18" t="s">
        <v>84</v>
      </c>
      <c r="J20" s="19" t="s">
        <v>85</v>
      </c>
      <c r="K20" s="18">
        <v>-1781</v>
      </c>
      <c r="L20" s="18" t="s">
        <v>59</v>
      </c>
      <c r="M20" s="19" t="s">
        <v>86</v>
      </c>
      <c r="N20" s="19" t="s">
        <v>87</v>
      </c>
      <c r="O20" s="20" t="s">
        <v>88</v>
      </c>
      <c r="P20" s="21" t="s">
        <v>89</v>
      </c>
    </row>
    <row r="21" spans="1:16" ht="12.75" customHeight="1" thickBot="1" x14ac:dyDescent="0.25">
      <c r="A21" s="4" t="str">
        <f t="shared" si="0"/>
        <v> BBS 102 </v>
      </c>
      <c r="B21" s="3" t="str">
        <f t="shared" si="1"/>
        <v>I</v>
      </c>
      <c r="C21" s="4">
        <f t="shared" si="2"/>
        <v>48971.616999999998</v>
      </c>
      <c r="D21" s="5" t="str">
        <f t="shared" si="3"/>
        <v>vis</v>
      </c>
      <c r="E21" s="17">
        <f>VLOOKUP(C21,Active!C$21:E$973,3,FALSE)</f>
        <v>-1243.9950227492986</v>
      </c>
      <c r="F21" s="3" t="s">
        <v>57</v>
      </c>
      <c r="G21" s="5" t="str">
        <f t="shared" si="4"/>
        <v>48971.617</v>
      </c>
      <c r="H21" s="4">
        <f t="shared" si="5"/>
        <v>-1244</v>
      </c>
      <c r="I21" s="18" t="s">
        <v>90</v>
      </c>
      <c r="J21" s="19" t="s">
        <v>91</v>
      </c>
      <c r="K21" s="18">
        <v>-1244</v>
      </c>
      <c r="L21" s="18" t="s">
        <v>92</v>
      </c>
      <c r="M21" s="19" t="s">
        <v>93</v>
      </c>
      <c r="N21" s="19"/>
      <c r="O21" s="20" t="s">
        <v>94</v>
      </c>
      <c r="P21" s="20" t="s">
        <v>95</v>
      </c>
    </row>
    <row r="22" spans="1:16" ht="12.75" customHeight="1" thickBot="1" x14ac:dyDescent="0.25">
      <c r="A22" s="4" t="str">
        <f t="shared" si="0"/>
        <v> BBS 118 </v>
      </c>
      <c r="B22" s="3" t="str">
        <f t="shared" si="1"/>
        <v>I</v>
      </c>
      <c r="C22" s="4">
        <f t="shared" si="2"/>
        <v>50988.534</v>
      </c>
      <c r="D22" s="5" t="str">
        <f t="shared" si="3"/>
        <v>vis</v>
      </c>
      <c r="E22" s="17">
        <f>VLOOKUP(C22,Active!C$21:E$973,3,FALSE)</f>
        <v>-532.99853903069493</v>
      </c>
      <c r="F22" s="3" t="s">
        <v>57</v>
      </c>
      <c r="G22" s="5" t="str">
        <f t="shared" si="4"/>
        <v>50988.534</v>
      </c>
      <c r="H22" s="4">
        <f t="shared" si="5"/>
        <v>-533</v>
      </c>
      <c r="I22" s="18" t="s">
        <v>96</v>
      </c>
      <c r="J22" s="19" t="s">
        <v>97</v>
      </c>
      <c r="K22" s="18">
        <v>-533</v>
      </c>
      <c r="L22" s="18" t="s">
        <v>98</v>
      </c>
      <c r="M22" s="19" t="s">
        <v>93</v>
      </c>
      <c r="N22" s="19"/>
      <c r="O22" s="20" t="s">
        <v>94</v>
      </c>
      <c r="P22" s="20" t="s">
        <v>99</v>
      </c>
    </row>
    <row r="23" spans="1:16" ht="12.75" customHeight="1" thickBot="1" x14ac:dyDescent="0.25">
      <c r="A23" s="4" t="str">
        <f t="shared" si="0"/>
        <v> BBS 127 </v>
      </c>
      <c r="B23" s="3" t="str">
        <f t="shared" si="1"/>
        <v>I</v>
      </c>
      <c r="C23" s="4">
        <f t="shared" si="2"/>
        <v>52279.245000000003</v>
      </c>
      <c r="D23" s="5" t="str">
        <f t="shared" si="3"/>
        <v>vis</v>
      </c>
      <c r="E23" s="17">
        <f>VLOOKUP(C23,Active!C$21:E$973,3,FALSE)</f>
        <v>-78.001639060629557</v>
      </c>
      <c r="F23" s="3" t="s">
        <v>57</v>
      </c>
      <c r="G23" s="5" t="str">
        <f t="shared" si="4"/>
        <v>52279.245</v>
      </c>
      <c r="H23" s="4">
        <f t="shared" si="5"/>
        <v>-78</v>
      </c>
      <c r="I23" s="18" t="s">
        <v>100</v>
      </c>
      <c r="J23" s="19" t="s">
        <v>101</v>
      </c>
      <c r="K23" s="18">
        <v>-78</v>
      </c>
      <c r="L23" s="18" t="s">
        <v>102</v>
      </c>
      <c r="M23" s="19" t="s">
        <v>86</v>
      </c>
      <c r="N23" s="19" t="s">
        <v>87</v>
      </c>
      <c r="O23" s="20" t="s">
        <v>103</v>
      </c>
      <c r="P23" s="20" t="s">
        <v>104</v>
      </c>
    </row>
    <row r="24" spans="1:16" ht="12.75" customHeight="1" thickBot="1" x14ac:dyDescent="0.25">
      <c r="A24" s="4" t="str">
        <f t="shared" si="0"/>
        <v>BAVM 203 </v>
      </c>
      <c r="B24" s="3" t="str">
        <f t="shared" si="1"/>
        <v>I</v>
      </c>
      <c r="C24" s="4">
        <f t="shared" si="2"/>
        <v>54815.3007</v>
      </c>
      <c r="D24" s="5" t="str">
        <f t="shared" si="3"/>
        <v>vis</v>
      </c>
      <c r="E24" s="17">
        <f>VLOOKUP(C24,Active!C$21:E$973,3,FALSE)</f>
        <v>815.99979243829637</v>
      </c>
      <c r="F24" s="3" t="s">
        <v>57</v>
      </c>
      <c r="G24" s="5" t="str">
        <f t="shared" si="4"/>
        <v>54815.3007</v>
      </c>
      <c r="H24" s="4">
        <f t="shared" si="5"/>
        <v>816</v>
      </c>
      <c r="I24" s="18" t="s">
        <v>105</v>
      </c>
      <c r="J24" s="19" t="s">
        <v>106</v>
      </c>
      <c r="K24" s="18">
        <v>816</v>
      </c>
      <c r="L24" s="18" t="s">
        <v>107</v>
      </c>
      <c r="M24" s="19" t="s">
        <v>108</v>
      </c>
      <c r="N24" s="19" t="s">
        <v>109</v>
      </c>
      <c r="O24" s="20" t="s">
        <v>110</v>
      </c>
      <c r="P24" s="21" t="s">
        <v>111</v>
      </c>
    </row>
    <row r="25" spans="1:16" ht="12.75" customHeight="1" thickBot="1" x14ac:dyDescent="0.25">
      <c r="A25" s="4" t="str">
        <f t="shared" si="0"/>
        <v>BAVM 212 </v>
      </c>
      <c r="B25" s="3" t="str">
        <f t="shared" si="1"/>
        <v>I</v>
      </c>
      <c r="C25" s="4">
        <f t="shared" si="2"/>
        <v>55141.531799999997</v>
      </c>
      <c r="D25" s="5" t="str">
        <f t="shared" si="3"/>
        <v>vis</v>
      </c>
      <c r="E25" s="17">
        <f>VLOOKUP(C25,Active!C$21:E$973,3,FALSE)</f>
        <v>931.00163186929433</v>
      </c>
      <c r="F25" s="3" t="s">
        <v>57</v>
      </c>
      <c r="G25" s="5" t="str">
        <f t="shared" si="4"/>
        <v>55141.5318</v>
      </c>
      <c r="H25" s="4">
        <f t="shared" si="5"/>
        <v>931</v>
      </c>
      <c r="I25" s="18" t="s">
        <v>117</v>
      </c>
      <c r="J25" s="19" t="s">
        <v>118</v>
      </c>
      <c r="K25" s="18" t="s">
        <v>119</v>
      </c>
      <c r="L25" s="18" t="s">
        <v>120</v>
      </c>
      <c r="M25" s="19" t="s">
        <v>108</v>
      </c>
      <c r="N25" s="19" t="s">
        <v>109</v>
      </c>
      <c r="O25" s="20" t="s">
        <v>110</v>
      </c>
      <c r="P25" s="21" t="s">
        <v>121</v>
      </c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</sheetData>
  <phoneticPr fontId="7" type="noConversion"/>
  <hyperlinks>
    <hyperlink ref="P20" r:id="rId1" display="http://www.konkoly.hu/cgi-bin/IBVS?3754"/>
    <hyperlink ref="P24" r:id="rId2" display="http://www.bav-astro.de/sfs/BAVM_link.php?BAVMnr=203"/>
    <hyperlink ref="P11" r:id="rId3" display="http://www.bav-astro.de/sfs/BAVM_link.php?BAVMnr=209"/>
    <hyperlink ref="P25" r:id="rId4" display="http://www.bav-astro.de/sfs/BAVM_link.php?BAVMnr=212"/>
    <hyperlink ref="P12" r:id="rId5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2024-03-03T04:11:21Z</dcterms:modified>
</cp:coreProperties>
</file>