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C69B18C-1EDB-4D21-885F-1D1DE8AD843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G13" i="2"/>
  <c r="C13" i="2"/>
  <c r="G12" i="2"/>
  <c r="C12" i="2"/>
  <c r="G18" i="2"/>
  <c r="C18" i="2"/>
  <c r="G17" i="2"/>
  <c r="C17" i="2"/>
  <c r="G16" i="2"/>
  <c r="C16" i="2"/>
  <c r="G15" i="2"/>
  <c r="C15" i="2"/>
  <c r="G14" i="2"/>
  <c r="C14" i="2"/>
  <c r="G11" i="2"/>
  <c r="C11" i="2"/>
  <c r="H13" i="2"/>
  <c r="B13" i="2"/>
  <c r="D13" i="2"/>
  <c r="A13" i="2"/>
  <c r="H12" i="2"/>
  <c r="D12" i="2"/>
  <c r="B12" i="2"/>
  <c r="A12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1" i="2"/>
  <c r="D11" i="2"/>
  <c r="B11" i="2"/>
  <c r="A11" i="2"/>
  <c r="Q27" i="1"/>
  <c r="Q28" i="1"/>
  <c r="E22" i="1"/>
  <c r="F22" i="1" s="1"/>
  <c r="G22" i="1" s="1"/>
  <c r="H22" i="1" s="1"/>
  <c r="D9" i="1"/>
  <c r="E9" i="1"/>
  <c r="F16" i="1"/>
  <c r="C17" i="1"/>
  <c r="Q21" i="1"/>
  <c r="E18" i="2"/>
  <c r="E14" i="2"/>
  <c r="E24" i="1"/>
  <c r="F24" i="1"/>
  <c r="G24" i="1" s="1"/>
  <c r="H24" i="1" s="1"/>
  <c r="E28" i="1"/>
  <c r="E13" i="2" s="1"/>
  <c r="E26" i="1"/>
  <c r="F26" i="1"/>
  <c r="G26" i="1" s="1"/>
  <c r="H26" i="1" s="1"/>
  <c r="E23" i="1"/>
  <c r="F23" i="1" s="1"/>
  <c r="G23" i="1" s="1"/>
  <c r="H23" i="1" s="1"/>
  <c r="E27" i="1"/>
  <c r="E12" i="2" s="1"/>
  <c r="F27" i="1"/>
  <c r="G27" i="1" s="1"/>
  <c r="I27" i="1" s="1"/>
  <c r="E25" i="1"/>
  <c r="F25" i="1"/>
  <c r="G25" i="1"/>
  <c r="H25" i="1" s="1"/>
  <c r="E21" i="1"/>
  <c r="F21" i="1"/>
  <c r="G21" i="1"/>
  <c r="H21" i="1" s="1"/>
  <c r="E15" i="2"/>
  <c r="E11" i="2"/>
  <c r="E17" i="2"/>
  <c r="E16" i="2"/>
  <c r="F28" i="1" l="1"/>
  <c r="G28" i="1" s="1"/>
  <c r="F17" i="1"/>
  <c r="C11" i="1"/>
  <c r="C12" i="1"/>
  <c r="C16" i="1" l="1"/>
  <c r="D18" i="1" s="1"/>
  <c r="O23" i="1"/>
  <c r="O21" i="1"/>
  <c r="O27" i="1"/>
  <c r="O28" i="1"/>
  <c r="O22" i="1"/>
  <c r="O25" i="1"/>
  <c r="O26" i="1"/>
  <c r="C15" i="1"/>
  <c r="C18" i="1" s="1"/>
  <c r="O24" i="1"/>
  <c r="I28" i="1"/>
  <c r="F18" i="1" l="1"/>
  <c r="F19" i="1" s="1"/>
</calcChain>
</file>

<file path=xl/sharedStrings.xml><?xml version="1.0" encoding="utf-8"?>
<sst xmlns="http://schemas.openxmlformats.org/spreadsheetml/2006/main" count="135" uniqueCount="89">
  <si>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</si>
  <si>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</si>
  <si>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</si>
  <si>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</si>
  <si>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</si>
  <si>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</si>
  <si>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</si>
  <si>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</si>
  <si>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</si>
  <si>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</si>
  <si>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</si>
  <si>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</si>
  <si>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</si>
  <si>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</si>
  <si>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</si>
  <si>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</si>
  <si>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</si>
  <si>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</si>
  <si>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</si>
  <si>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</si>
  <si>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</si>
  <si>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</si>
  <si>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</si>
  <si>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</si>
  <si>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</si>
  <si>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</si>
  <si>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</si>
  <si>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</si>
  <si>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</si>
  <si>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</si>
  <si>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</si>
  <si>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</si>
  <si>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</si>
  <si>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</si>
  <si>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</si>
  <si>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</si>
  <si>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</si>
  <si>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</si>
  <si>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</si>
  <si>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</si>
  <si>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</si>
  <si>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HU Per</t>
  </si>
  <si>
    <t>G2863-1548</t>
  </si>
  <si>
    <t>EA</t>
  </si>
  <si>
    <t>HU Per / GSC 2863-1548</t>
  </si>
  <si>
    <t>GCVS</t>
  </si>
  <si>
    <t>OEJV 0172</t>
  </si>
  <si>
    <t>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</si>
  <si>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</si>
  <si>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</si>
  <si>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</si>
  <si>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</si>
  <si>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</si>
  <si>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</si>
  <si>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</si>
  <si>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2416739.43 </t>
  </si>
  <si>
    <t> 15.09.1904 22:19 </t>
  </si>
  <si>
    <t> 0.00 </t>
  </si>
  <si>
    <t>P </t>
  </si>
  <si>
    <t> T.S.Meshkova </t>
  </si>
  <si>
    <t> PZ 5.255 </t>
  </si>
  <si>
    <t>2418240.30 </t>
  </si>
  <si>
    <t> 25.10.1908 19:12 </t>
  </si>
  <si>
    <t> -0.26 </t>
  </si>
  <si>
    <t> W.Zessewitsch </t>
  </si>
  <si>
    <t> AC 191.16 </t>
  </si>
  <si>
    <t>2418275.39 </t>
  </si>
  <si>
    <t> 29.11.1908 21:21 </t>
  </si>
  <si>
    <t> 0.32 </t>
  </si>
  <si>
    <t>2428593.25 </t>
  </si>
  <si>
    <t> 28.02.1937 18:00 </t>
  </si>
  <si>
    <t> 0.05 </t>
  </si>
  <si>
    <t>2429283.27 </t>
  </si>
  <si>
    <t> 19.01.1939 18:28 </t>
  </si>
  <si>
    <t> -0.11 </t>
  </si>
  <si>
    <t>2436081.75 </t>
  </si>
  <si>
    <t> 31.08.1957 06:00 </t>
  </si>
  <si>
    <t> 0.14 </t>
  </si>
  <si>
    <t> SAC 34.108 </t>
  </si>
  <si>
    <t>2457011.545 </t>
  </si>
  <si>
    <t> 20.12.2014 01:04 </t>
  </si>
  <si>
    <t> 0.345 </t>
  </si>
  <si>
    <t>C </t>
  </si>
  <si>
    <t> A.Paschke </t>
  </si>
  <si>
    <t>OEJV 0172 </t>
  </si>
  <si>
    <t>2457011.550 </t>
  </si>
  <si>
    <t> 20.12.2014 01:12 </t>
  </si>
  <si>
    <t> 0.350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</si>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</sst>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2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2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4" borderId="13" xfId="0" applyFont="1" applyFill="1" applyBorder="1" applyAlignment="1">
      <alignment horizontal="left" vertical="top" wrapText="1" indent="1"/>
    </xf>
    <xf numFmtId="0" fontId="5" fillId="4" borderId="13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right" vertical="top" wrapText="1"/>
    </xf>
    <xf numFmtId="0" fontId="22" fillId="4" borderId="13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172" fontId="20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HU Per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</c:v>
                </c:pt>
                <c:pt idx="2">
                  <c:v>89</c:v>
                </c:pt>
                <c:pt idx="3">
                  <c:v>687</c:v>
                </c:pt>
                <c:pt idx="4">
                  <c:v>727</c:v>
                </c:pt>
                <c:pt idx="5">
                  <c:v>1121</c:v>
                </c:pt>
                <c:pt idx="6">
                  <c:v>2334</c:v>
                </c:pt>
                <c:pt idx="7">
                  <c:v>2334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-0.26280000000042492</c:v>
                </c:pt>
                <c:pt idx="2">
                  <c:v>0.31840000000011059</c:v>
                </c:pt>
                <c:pt idx="3">
                  <c:v>4.7200000000884756E-2</c:v>
                </c:pt>
                <c:pt idx="4">
                  <c:v>-0.10879999999815482</c:v>
                </c:pt>
                <c:pt idx="5">
                  <c:v>0.13760000000183936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C4-442D-BDED-FDDB32C0BA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</c:v>
                </c:pt>
                <c:pt idx="2">
                  <c:v>89</c:v>
                </c:pt>
                <c:pt idx="3">
                  <c:v>687</c:v>
                </c:pt>
                <c:pt idx="4">
                  <c:v>727</c:v>
                </c:pt>
                <c:pt idx="5">
                  <c:v>1121</c:v>
                </c:pt>
                <c:pt idx="6">
                  <c:v>2334</c:v>
                </c:pt>
                <c:pt idx="7">
                  <c:v>2334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">
                  <c:v>0.34539999999833526</c:v>
                </c:pt>
                <c:pt idx="7">
                  <c:v>0.35040000000299187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C4-442D-BDED-FDDB32C0BA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</c:v>
                </c:pt>
                <c:pt idx="2">
                  <c:v>89</c:v>
                </c:pt>
                <c:pt idx="3">
                  <c:v>687</c:v>
                </c:pt>
                <c:pt idx="4">
                  <c:v>727</c:v>
                </c:pt>
                <c:pt idx="5">
                  <c:v>1121</c:v>
                </c:pt>
                <c:pt idx="6">
                  <c:v>2334</c:v>
                </c:pt>
                <c:pt idx="7">
                  <c:v>2334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C4-442D-BDED-FDDB32C0BA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</c:v>
                </c:pt>
                <c:pt idx="2">
                  <c:v>89</c:v>
                </c:pt>
                <c:pt idx="3">
                  <c:v>687</c:v>
                </c:pt>
                <c:pt idx="4">
                  <c:v>727</c:v>
                </c:pt>
                <c:pt idx="5">
                  <c:v>1121</c:v>
                </c:pt>
                <c:pt idx="6">
                  <c:v>2334</c:v>
                </c:pt>
                <c:pt idx="7">
                  <c:v>2334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C4-442D-BDED-FDDB32C0BA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</c:v>
                </c:pt>
                <c:pt idx="2">
                  <c:v>89</c:v>
                </c:pt>
                <c:pt idx="3">
                  <c:v>687</c:v>
                </c:pt>
                <c:pt idx="4">
                  <c:v>727</c:v>
                </c:pt>
                <c:pt idx="5">
                  <c:v>1121</c:v>
                </c:pt>
                <c:pt idx="6">
                  <c:v>2334</c:v>
                </c:pt>
                <c:pt idx="7">
                  <c:v>2334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C4-442D-BDED-FDDB32C0BA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</c:v>
                </c:pt>
                <c:pt idx="2">
                  <c:v>89</c:v>
                </c:pt>
                <c:pt idx="3">
                  <c:v>687</c:v>
                </c:pt>
                <c:pt idx="4">
                  <c:v>727</c:v>
                </c:pt>
                <c:pt idx="5">
                  <c:v>1121</c:v>
                </c:pt>
                <c:pt idx="6">
                  <c:v>2334</c:v>
                </c:pt>
                <c:pt idx="7">
                  <c:v>2334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C4-442D-BDED-FDDB32C0BA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6">
                    <c:v>0.03</c:v>
                  </c:pt>
                  <c:pt idx="7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</c:v>
                </c:pt>
                <c:pt idx="2">
                  <c:v>89</c:v>
                </c:pt>
                <c:pt idx="3">
                  <c:v>687</c:v>
                </c:pt>
                <c:pt idx="4">
                  <c:v>727</c:v>
                </c:pt>
                <c:pt idx="5">
                  <c:v>1121</c:v>
                </c:pt>
                <c:pt idx="6">
                  <c:v>2334</c:v>
                </c:pt>
                <c:pt idx="7">
                  <c:v>2334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C4-442D-BDED-FDDB32C0BA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</c:v>
                </c:pt>
                <c:pt idx="2">
                  <c:v>89</c:v>
                </c:pt>
                <c:pt idx="3">
                  <c:v>687</c:v>
                </c:pt>
                <c:pt idx="4">
                  <c:v>727</c:v>
                </c:pt>
                <c:pt idx="5">
                  <c:v>1121</c:v>
                </c:pt>
                <c:pt idx="6">
                  <c:v>2334</c:v>
                </c:pt>
                <c:pt idx="7">
                  <c:v>2334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-3.7779793527037836E-2</c:v>
                </c:pt>
                <c:pt idx="1">
                  <c:v>-2.4461113991151674E-2</c:v>
                </c:pt>
                <c:pt idx="2">
                  <c:v>-2.4154937450096822E-2</c:v>
                </c:pt>
                <c:pt idx="3">
                  <c:v>6.7391848325304607E-2</c:v>
                </c:pt>
                <c:pt idx="4">
                  <c:v>7.3515379146401688E-2</c:v>
                </c:pt>
                <c:pt idx="5">
                  <c:v>0.13383215773420798</c:v>
                </c:pt>
                <c:pt idx="6">
                  <c:v>0.31952822988397711</c:v>
                </c:pt>
                <c:pt idx="7">
                  <c:v>0.31952822988397711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C4-442D-BDED-FDDB32C0BA4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</c:v>
                </c:pt>
                <c:pt idx="2">
                  <c:v>89</c:v>
                </c:pt>
                <c:pt idx="3">
                  <c:v>687</c:v>
                </c:pt>
                <c:pt idx="4">
                  <c:v>727</c:v>
                </c:pt>
                <c:pt idx="5">
                  <c:v>1121</c:v>
                </c:pt>
                <c:pt idx="6">
                  <c:v>2334</c:v>
                </c:pt>
                <c:pt idx="7">
                  <c:v>2334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C4-442D-BDED-FDDB32C0B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000272"/>
        <c:axId val="1"/>
      </c:scatterChart>
      <c:valAx>
        <c:axId val="882000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00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A54CF22-E54E-E774-4738-C7CEBBC15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72.pdf" TargetMode="External"/><Relationship Id="rId1" Type="http://schemas.openxmlformats.org/officeDocument/2006/relationships/hyperlink" Target="http://var.astro.cz/oejv/issues/oejv0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6" ht="20.25" x14ac:dyDescent="0.3">
      <c r="A1" s="1" t="s">
        <v>44</v>
      </c>
      <c r="F1" s="5" t="s">
        <v>41</v>
      </c>
      <c r="G1" s="6">
        <v>0</v>
      </c>
      <c r="H1" s="7"/>
      <c r="I1" s="12" t="s">
        <v>42</v>
      </c>
      <c r="J1" s="13" t="s">
        <v>41</v>
      </c>
      <c r="K1" s="9">
        <v>3.4233199999999999</v>
      </c>
      <c r="L1" s="10">
        <v>39.060400000000001</v>
      </c>
      <c r="M1" s="11">
        <v>16739.43</v>
      </c>
      <c r="N1" s="11">
        <v>17.2544</v>
      </c>
      <c r="O1" s="8" t="s">
        <v>43</v>
      </c>
      <c r="P1" s="6">
        <v>10.9</v>
      </c>
    </row>
    <row r="2" spans="1:16" s="27" customFormat="1" ht="12.95" customHeight="1" x14ac:dyDescent="0.2">
      <c r="A2" s="27" t="s">
        <v>23</v>
      </c>
      <c r="B2" s="27" t="s">
        <v>43</v>
      </c>
      <c r="C2" s="28"/>
      <c r="D2" s="29"/>
    </row>
    <row r="3" spans="1:16" s="27" customFormat="1" ht="12.95" customHeight="1" thickBot="1" x14ac:dyDescent="0.25"/>
    <row r="4" spans="1:16" s="27" customFormat="1" ht="12.95" customHeight="1" thickTop="1" thickBot="1" x14ac:dyDescent="0.25">
      <c r="A4" s="30" t="s">
        <v>0</v>
      </c>
      <c r="C4" s="31">
        <v>16739.43</v>
      </c>
      <c r="D4" s="32">
        <v>17.2544</v>
      </c>
    </row>
    <row r="5" spans="1:16" s="27" customFormat="1" ht="12.95" customHeight="1" thickTop="1" x14ac:dyDescent="0.2">
      <c r="A5" s="33" t="s">
        <v>28</v>
      </c>
      <c r="C5" s="34">
        <v>-9.5</v>
      </c>
      <c r="D5" s="27" t="s">
        <v>29</v>
      </c>
    </row>
    <row r="6" spans="1:16" s="27" customFormat="1" ht="12.95" customHeight="1" x14ac:dyDescent="0.2">
      <c r="A6" s="30" t="s">
        <v>1</v>
      </c>
    </row>
    <row r="7" spans="1:16" s="27" customFormat="1" ht="12.95" customHeight="1" x14ac:dyDescent="0.2">
      <c r="A7" s="27" t="s">
        <v>2</v>
      </c>
      <c r="C7" s="61">
        <v>16739.43</v>
      </c>
      <c r="D7" s="36" t="s">
        <v>45</v>
      </c>
    </row>
    <row r="8" spans="1:16" s="27" customFormat="1" ht="12.95" customHeight="1" x14ac:dyDescent="0.2">
      <c r="A8" s="27" t="s">
        <v>3</v>
      </c>
      <c r="C8" s="61">
        <v>17.2544</v>
      </c>
      <c r="D8" s="36" t="s">
        <v>45</v>
      </c>
    </row>
    <row r="9" spans="1:16" s="27" customFormat="1" ht="12.95" customHeight="1" x14ac:dyDescent="0.2">
      <c r="A9" s="37" t="s">
        <v>32</v>
      </c>
      <c r="C9" s="38">
        <v>21</v>
      </c>
      <c r="D9" s="39" t="str">
        <f>"F"&amp;C9</f>
        <v>F21</v>
      </c>
      <c r="E9" s="40" t="str">
        <f>"G"&amp;C9</f>
        <v>G21</v>
      </c>
    </row>
    <row r="10" spans="1:16" s="27" customFormat="1" ht="12.95" customHeight="1" thickBot="1" x14ac:dyDescent="0.25">
      <c r="C10" s="41" t="s">
        <v>19</v>
      </c>
      <c r="D10" s="41" t="s">
        <v>20</v>
      </c>
    </row>
    <row r="11" spans="1:16" s="27" customFormat="1" ht="12.95" customHeight="1" x14ac:dyDescent="0.2">
      <c r="A11" s="27" t="s">
        <v>15</v>
      </c>
      <c r="C11" s="40">
        <f ca="1">INTERCEPT(INDIRECT($E$9):G992,INDIRECT($D$9):F992)</f>
        <v>-3.7779793527037836E-2</v>
      </c>
      <c r="D11" s="29"/>
    </row>
    <row r="12" spans="1:16" s="27" customFormat="1" ht="12.95" customHeight="1" x14ac:dyDescent="0.2">
      <c r="A12" s="27" t="s">
        <v>16</v>
      </c>
      <c r="C12" s="40">
        <f ca="1">SLOPE(INDIRECT($E$9):G992,INDIRECT($D$9):F992)</f>
        <v>1.5308827052742713E-4</v>
      </c>
      <c r="D12" s="29"/>
    </row>
    <row r="13" spans="1:16" s="27" customFormat="1" ht="12.95" customHeight="1" x14ac:dyDescent="0.2">
      <c r="A13" s="27" t="s">
        <v>18</v>
      </c>
      <c r="C13" s="29" t="s">
        <v>13</v>
      </c>
    </row>
    <row r="14" spans="1:16" s="27" customFormat="1" ht="12.95" customHeight="1" x14ac:dyDescent="0.2"/>
    <row r="15" spans="1:16" s="27" customFormat="1" ht="12.95" customHeight="1" x14ac:dyDescent="0.2">
      <c r="A15" s="42" t="s">
        <v>17</v>
      </c>
      <c r="C15" s="43">
        <f ca="1">(C7+C11)+(C8+C12)*INT(MAX(F21:F3533))</f>
        <v>57011.519128229891</v>
      </c>
      <c r="E15" s="44" t="s">
        <v>34</v>
      </c>
      <c r="F15" s="45">
        <v>1</v>
      </c>
    </row>
    <row r="16" spans="1:16" s="27" customFormat="1" ht="12.95" customHeight="1" x14ac:dyDescent="0.2">
      <c r="A16" s="30" t="s">
        <v>4</v>
      </c>
      <c r="C16" s="46">
        <f ca="1">+C8+C12</f>
        <v>17.254553088270526</v>
      </c>
      <c r="E16" s="44" t="s">
        <v>30</v>
      </c>
      <c r="F16" s="46">
        <f ca="1">NOW()+15018.5+$C$5/24</f>
        <v>60372.717028703701</v>
      </c>
    </row>
    <row r="17" spans="1:18" s="27" customFormat="1" ht="12.95" customHeight="1" thickBot="1" x14ac:dyDescent="0.25">
      <c r="A17" s="44" t="s">
        <v>27</v>
      </c>
      <c r="C17" s="27">
        <f>COUNT(C21:C2191)</f>
        <v>8</v>
      </c>
      <c r="E17" s="44" t="s">
        <v>35</v>
      </c>
      <c r="F17" s="47">
        <f ca="1">ROUND(2*(F16-$C$7)/$C$8,0)/2+F15</f>
        <v>2530</v>
      </c>
    </row>
    <row r="18" spans="1:18" s="27" customFormat="1" ht="12.95" customHeight="1" thickTop="1" thickBot="1" x14ac:dyDescent="0.25">
      <c r="A18" s="30" t="s">
        <v>5</v>
      </c>
      <c r="C18" s="48">
        <f ca="1">+C15</f>
        <v>57011.519128229891</v>
      </c>
      <c r="D18" s="49">
        <f ca="1">+C16</f>
        <v>17.254553088270526</v>
      </c>
      <c r="E18" s="44" t="s">
        <v>36</v>
      </c>
      <c r="F18" s="40">
        <f ca="1">ROUND(2*(F16-$C$15)/$C$16,0)/2+F15</f>
        <v>196</v>
      </c>
    </row>
    <row r="19" spans="1:18" s="27" customFormat="1" ht="12.95" customHeight="1" thickTop="1" x14ac:dyDescent="0.2">
      <c r="E19" s="44" t="s">
        <v>31</v>
      </c>
      <c r="F19" s="50">
        <f ca="1">+$C$15+$C$16*F18-15018.5-$C$5/24</f>
        <v>45375.307366864254</v>
      </c>
    </row>
    <row r="20" spans="1:18" s="27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51" t="s">
        <v>37</v>
      </c>
      <c r="I20" s="51" t="s">
        <v>88</v>
      </c>
      <c r="J20" s="51" t="s">
        <v>39</v>
      </c>
      <c r="K20" s="51" t="s">
        <v>40</v>
      </c>
      <c r="L20" s="51" t="s">
        <v>24</v>
      </c>
      <c r="M20" s="51" t="s">
        <v>25</v>
      </c>
      <c r="N20" s="51" t="s">
        <v>26</v>
      </c>
      <c r="O20" s="51" t="s">
        <v>22</v>
      </c>
      <c r="P20" s="52" t="s">
        <v>21</v>
      </c>
      <c r="Q20" s="41" t="s">
        <v>14</v>
      </c>
      <c r="R20" s="53" t="s">
        <v>33</v>
      </c>
    </row>
    <row r="21" spans="1:18" s="27" customFormat="1" ht="12.95" customHeight="1" x14ac:dyDescent="0.2">
      <c r="A21" s="27" t="s">
        <v>45</v>
      </c>
      <c r="C21" s="35">
        <v>16739.43</v>
      </c>
      <c r="D21" s="35" t="s">
        <v>13</v>
      </c>
      <c r="E21" s="27">
        <f t="shared" ref="E21:E28" si="0">+(C21-C$7)/C$8</f>
        <v>0</v>
      </c>
      <c r="F21" s="27">
        <f t="shared" ref="F21:F28" si="1">ROUND(2*E21,0)/2</f>
        <v>0</v>
      </c>
      <c r="G21" s="27">
        <f t="shared" ref="G21:G28" si="2">+C21-(C$7+F21*C$8)</f>
        <v>0</v>
      </c>
      <c r="H21" s="27">
        <f t="shared" ref="H21:H26" si="3">+G21</f>
        <v>0</v>
      </c>
      <c r="O21" s="27">
        <f t="shared" ref="O21:O28" ca="1" si="4">+C$11+C$12*$F21</f>
        <v>-3.7779793527037836E-2</v>
      </c>
      <c r="Q21" s="54">
        <f t="shared" ref="Q21:Q28" si="5">+C21-15018.5</f>
        <v>1720.9300000000003</v>
      </c>
    </row>
    <row r="22" spans="1:18" s="27" customFormat="1" ht="12.95" customHeight="1" x14ac:dyDescent="0.2">
      <c r="A22" s="55" t="s">
        <v>65</v>
      </c>
      <c r="B22" s="56" t="s">
        <v>47</v>
      </c>
      <c r="C22" s="57">
        <v>18240.3</v>
      </c>
      <c r="D22" s="35"/>
      <c r="E22" s="27">
        <f t="shared" si="0"/>
        <v>86.984769102373832</v>
      </c>
      <c r="F22" s="27">
        <f t="shared" si="1"/>
        <v>87</v>
      </c>
      <c r="G22" s="27">
        <f t="shared" si="2"/>
        <v>-0.26280000000042492</v>
      </c>
      <c r="H22" s="27">
        <f t="shared" si="3"/>
        <v>-0.26280000000042492</v>
      </c>
      <c r="O22" s="27">
        <f t="shared" ca="1" si="4"/>
        <v>-2.4461113991151674E-2</v>
      </c>
      <c r="Q22" s="54">
        <f t="shared" si="5"/>
        <v>3221.7999999999993</v>
      </c>
    </row>
    <row r="23" spans="1:18" s="27" customFormat="1" ht="12.95" customHeight="1" x14ac:dyDescent="0.2">
      <c r="A23" s="55" t="s">
        <v>60</v>
      </c>
      <c r="B23" s="56" t="s">
        <v>47</v>
      </c>
      <c r="C23" s="57">
        <v>18275.39</v>
      </c>
      <c r="D23" s="35"/>
      <c r="E23" s="27">
        <f t="shared" si="0"/>
        <v>89.018453264094902</v>
      </c>
      <c r="F23" s="27">
        <f t="shared" si="1"/>
        <v>89</v>
      </c>
      <c r="G23" s="27">
        <f t="shared" si="2"/>
        <v>0.31840000000011059</v>
      </c>
      <c r="H23" s="27">
        <f t="shared" si="3"/>
        <v>0.31840000000011059</v>
      </c>
      <c r="O23" s="27">
        <f t="shared" ca="1" si="4"/>
        <v>-2.4154937450096822E-2</v>
      </c>
      <c r="Q23" s="54">
        <f t="shared" si="5"/>
        <v>3256.8899999999994</v>
      </c>
    </row>
    <row r="24" spans="1:18" s="27" customFormat="1" ht="12.95" customHeight="1" x14ac:dyDescent="0.2">
      <c r="A24" s="55" t="s">
        <v>65</v>
      </c>
      <c r="B24" s="56" t="s">
        <v>47</v>
      </c>
      <c r="C24" s="57">
        <v>28593.25</v>
      </c>
      <c r="D24" s="35"/>
      <c r="E24" s="27">
        <f t="shared" si="0"/>
        <v>687.00273553412455</v>
      </c>
      <c r="F24" s="27">
        <f t="shared" si="1"/>
        <v>687</v>
      </c>
      <c r="G24" s="27">
        <f t="shared" si="2"/>
        <v>4.7200000000884756E-2</v>
      </c>
      <c r="H24" s="27">
        <f t="shared" si="3"/>
        <v>4.7200000000884756E-2</v>
      </c>
      <c r="O24" s="27">
        <f t="shared" ca="1" si="4"/>
        <v>6.7391848325304607E-2</v>
      </c>
      <c r="Q24" s="54">
        <f t="shared" si="5"/>
        <v>13574.75</v>
      </c>
    </row>
    <row r="25" spans="1:18" s="27" customFormat="1" ht="12.95" customHeight="1" x14ac:dyDescent="0.2">
      <c r="A25" s="55" t="s">
        <v>60</v>
      </c>
      <c r="B25" s="56" t="s">
        <v>47</v>
      </c>
      <c r="C25" s="57">
        <v>29283.27</v>
      </c>
      <c r="D25" s="35"/>
      <c r="E25" s="27">
        <f t="shared" si="0"/>
        <v>726.99369436201778</v>
      </c>
      <c r="F25" s="27">
        <f t="shared" si="1"/>
        <v>727</v>
      </c>
      <c r="G25" s="27">
        <f t="shared" si="2"/>
        <v>-0.10879999999815482</v>
      </c>
      <c r="H25" s="27">
        <f t="shared" si="3"/>
        <v>-0.10879999999815482</v>
      </c>
      <c r="O25" s="27">
        <f t="shared" ca="1" si="4"/>
        <v>7.3515379146401688E-2</v>
      </c>
      <c r="Q25" s="54">
        <f t="shared" si="5"/>
        <v>14264.77</v>
      </c>
    </row>
    <row r="26" spans="1:18" s="27" customFormat="1" ht="12.95" customHeight="1" x14ac:dyDescent="0.2">
      <c r="A26" s="55" t="s">
        <v>78</v>
      </c>
      <c r="B26" s="56" t="s">
        <v>47</v>
      </c>
      <c r="C26" s="57">
        <v>36081.75</v>
      </c>
      <c r="D26" s="35"/>
      <c r="E26" s="27">
        <f t="shared" si="0"/>
        <v>1121.007974777448</v>
      </c>
      <c r="F26" s="27">
        <f t="shared" si="1"/>
        <v>1121</v>
      </c>
      <c r="G26" s="27">
        <f t="shared" si="2"/>
        <v>0.13760000000183936</v>
      </c>
      <c r="H26" s="27">
        <f t="shared" si="3"/>
        <v>0.13760000000183936</v>
      </c>
      <c r="O26" s="27">
        <f t="shared" ca="1" si="4"/>
        <v>0.13383215773420798</v>
      </c>
      <c r="Q26" s="54">
        <f t="shared" si="5"/>
        <v>21063.25</v>
      </c>
    </row>
    <row r="27" spans="1:18" s="27" customFormat="1" ht="12.95" customHeight="1" x14ac:dyDescent="0.2">
      <c r="A27" s="58" t="s">
        <v>46</v>
      </c>
      <c r="B27" s="59" t="s">
        <v>47</v>
      </c>
      <c r="C27" s="60">
        <v>57011.544999999998</v>
      </c>
      <c r="D27" s="60">
        <v>0.03</v>
      </c>
      <c r="E27" s="27">
        <f t="shared" si="0"/>
        <v>2334.020018082344</v>
      </c>
      <c r="F27" s="27">
        <f t="shared" si="1"/>
        <v>2334</v>
      </c>
      <c r="G27" s="27">
        <f t="shared" si="2"/>
        <v>0.34539999999833526</v>
      </c>
      <c r="I27" s="27">
        <f>+G27</f>
        <v>0.34539999999833526</v>
      </c>
      <c r="O27" s="27">
        <f t="shared" ca="1" si="4"/>
        <v>0.31952822988397711</v>
      </c>
      <c r="Q27" s="54">
        <f t="shared" si="5"/>
        <v>41993.044999999998</v>
      </c>
    </row>
    <row r="28" spans="1:18" s="27" customFormat="1" ht="12.95" customHeight="1" x14ac:dyDescent="0.2">
      <c r="A28" s="58" t="s">
        <v>46</v>
      </c>
      <c r="B28" s="59" t="s">
        <v>47</v>
      </c>
      <c r="C28" s="60">
        <v>57011.55</v>
      </c>
      <c r="D28" s="60">
        <v>0.03</v>
      </c>
      <c r="E28" s="27">
        <f t="shared" si="0"/>
        <v>2334.0203078635018</v>
      </c>
      <c r="F28" s="27">
        <f t="shared" si="1"/>
        <v>2334</v>
      </c>
      <c r="G28" s="27">
        <f t="shared" si="2"/>
        <v>0.35040000000299187</v>
      </c>
      <c r="I28" s="27">
        <f>+G28</f>
        <v>0.35040000000299187</v>
      </c>
      <c r="O28" s="27">
        <f t="shared" ca="1" si="4"/>
        <v>0.31952822988397711</v>
      </c>
      <c r="Q28" s="54">
        <f t="shared" si="5"/>
        <v>41993.05</v>
      </c>
    </row>
    <row r="29" spans="1:18" s="27" customFormat="1" ht="12.95" customHeight="1" x14ac:dyDescent="0.2">
      <c r="C29" s="35"/>
      <c r="D29" s="35"/>
      <c r="Q29" s="54"/>
    </row>
    <row r="30" spans="1:18" s="27" customFormat="1" ht="12.95" customHeight="1" x14ac:dyDescent="0.2">
      <c r="C30" s="35"/>
      <c r="D30" s="35"/>
      <c r="Q30" s="54"/>
    </row>
    <row r="31" spans="1:18" s="27" customFormat="1" ht="12.95" customHeight="1" x14ac:dyDescent="0.2">
      <c r="C31" s="35"/>
      <c r="D31" s="35"/>
      <c r="Q31" s="54"/>
    </row>
    <row r="32" spans="1:18" s="27" customFormat="1" ht="12.95" customHeight="1" x14ac:dyDescent="0.2">
      <c r="C32" s="35"/>
      <c r="D32" s="35"/>
      <c r="Q32" s="54"/>
    </row>
    <row r="33" spans="3:17" s="27" customFormat="1" ht="12.95" customHeight="1" x14ac:dyDescent="0.2">
      <c r="C33" s="35"/>
      <c r="D33" s="35"/>
      <c r="Q33" s="54"/>
    </row>
    <row r="34" spans="3:17" s="27" customFormat="1" ht="12.95" customHeight="1" x14ac:dyDescent="0.2">
      <c r="C34" s="35"/>
      <c r="D34" s="35"/>
    </row>
    <row r="35" spans="3:17" s="27" customFormat="1" ht="12.95" customHeight="1" x14ac:dyDescent="0.2">
      <c r="C35" s="35"/>
      <c r="D35" s="35"/>
    </row>
    <row r="36" spans="3:17" s="27" customFormat="1" ht="12.95" customHeight="1" x14ac:dyDescent="0.2">
      <c r="C36" s="35"/>
      <c r="D36" s="35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4"/>
  <sheetViews>
    <sheetView workbookViewId="0">
      <selection activeCell="A14" sqref="A14:C18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4" t="s">
        <v>48</v>
      </c>
      <c r="I1" s="15" t="s">
        <v>49</v>
      </c>
      <c r="J1" s="16" t="s">
        <v>40</v>
      </c>
    </row>
    <row r="2" spans="1:16" x14ac:dyDescent="0.2">
      <c r="I2" s="17" t="s">
        <v>50</v>
      </c>
      <c r="J2" s="18" t="s">
        <v>39</v>
      </c>
    </row>
    <row r="3" spans="1:16" x14ac:dyDescent="0.2">
      <c r="A3" s="19" t="s">
        <v>51</v>
      </c>
      <c r="I3" s="17" t="s">
        <v>52</v>
      </c>
      <c r="J3" s="18" t="s">
        <v>37</v>
      </c>
    </row>
    <row r="4" spans="1:16" x14ac:dyDescent="0.2">
      <c r="I4" s="17" t="s">
        <v>53</v>
      </c>
      <c r="J4" s="18" t="s">
        <v>37</v>
      </c>
    </row>
    <row r="5" spans="1:16" ht="13.5" thickBot="1" x14ac:dyDescent="0.25">
      <c r="I5" s="20" t="s">
        <v>54</v>
      </c>
      <c r="J5" s="21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18" si="0">P11</f>
        <v> PZ 5.255 </v>
      </c>
      <c r="B11" s="2" t="str">
        <f t="shared" ref="B11:B18" si="1">IF(H11=INT(H11),"I","II")</f>
        <v>I</v>
      </c>
      <c r="C11" s="3">
        <f t="shared" ref="C11:C18" si="2">1*G11</f>
        <v>16739.43</v>
      </c>
      <c r="D11" s="4" t="str">
        <f t="shared" ref="D11:D18" si="3">VLOOKUP(F11,I$1:J$5,2,FALSE)</f>
        <v>vis</v>
      </c>
      <c r="E11" s="22">
        <f>VLOOKUP(C11,Active!C$21:E$973,3,FALSE)</f>
        <v>0</v>
      </c>
      <c r="F11" s="2" t="s">
        <v>54</v>
      </c>
      <c r="G11" s="4" t="str">
        <f t="shared" ref="G11:G18" si="4">MID(I11,3,LEN(I11)-3)</f>
        <v>16739.43</v>
      </c>
      <c r="H11" s="3">
        <f t="shared" ref="H11:H18" si="5">1*K11</f>
        <v>0</v>
      </c>
      <c r="I11" s="23" t="s">
        <v>55</v>
      </c>
      <c r="J11" s="24" t="s">
        <v>56</v>
      </c>
      <c r="K11" s="23">
        <v>0</v>
      </c>
      <c r="L11" s="23" t="s">
        <v>57</v>
      </c>
      <c r="M11" s="24" t="s">
        <v>58</v>
      </c>
      <c r="N11" s="24"/>
      <c r="O11" s="25" t="s">
        <v>59</v>
      </c>
      <c r="P11" s="25" t="s">
        <v>60</v>
      </c>
    </row>
    <row r="12" spans="1:16" ht="12.75" customHeight="1" thickBot="1" x14ac:dyDescent="0.25">
      <c r="A12" s="3" t="str">
        <f t="shared" si="0"/>
        <v>OEJV 0172 </v>
      </c>
      <c r="B12" s="2" t="str">
        <f t="shared" si="1"/>
        <v>I</v>
      </c>
      <c r="C12" s="3">
        <f t="shared" si="2"/>
        <v>57011.544999999998</v>
      </c>
      <c r="D12" s="4" t="str">
        <f t="shared" si="3"/>
        <v>vis</v>
      </c>
      <c r="E12" s="22">
        <f>VLOOKUP(C12,Active!C$21:E$973,3,FALSE)</f>
        <v>2334.020018082344</v>
      </c>
      <c r="F12" s="2" t="s">
        <v>54</v>
      </c>
      <c r="G12" s="4" t="str">
        <f t="shared" si="4"/>
        <v>57011.545</v>
      </c>
      <c r="H12" s="3">
        <f t="shared" si="5"/>
        <v>2334</v>
      </c>
      <c r="I12" s="23" t="s">
        <v>79</v>
      </c>
      <c r="J12" s="24" t="s">
        <v>80</v>
      </c>
      <c r="K12" s="23">
        <v>2334</v>
      </c>
      <c r="L12" s="23" t="s">
        <v>81</v>
      </c>
      <c r="M12" s="24" t="s">
        <v>82</v>
      </c>
      <c r="N12" s="24" t="s">
        <v>54</v>
      </c>
      <c r="O12" s="25" t="s">
        <v>83</v>
      </c>
      <c r="P12" s="26" t="s">
        <v>84</v>
      </c>
    </row>
    <row r="13" spans="1:16" ht="12.75" customHeight="1" thickBot="1" x14ac:dyDescent="0.25">
      <c r="A13" s="3" t="str">
        <f t="shared" si="0"/>
        <v>OEJV 0172 </v>
      </c>
      <c r="B13" s="2" t="str">
        <f t="shared" si="1"/>
        <v>I</v>
      </c>
      <c r="C13" s="3">
        <f t="shared" si="2"/>
        <v>57011.55</v>
      </c>
      <c r="D13" s="4" t="str">
        <f t="shared" si="3"/>
        <v>vis</v>
      </c>
      <c r="E13" s="22">
        <f>VLOOKUP(C13,Active!C$21:E$973,3,FALSE)</f>
        <v>2334.0203078635018</v>
      </c>
      <c r="F13" s="2" t="s">
        <v>54</v>
      </c>
      <c r="G13" s="4" t="str">
        <f t="shared" si="4"/>
        <v>57011.550</v>
      </c>
      <c r="H13" s="3">
        <f t="shared" si="5"/>
        <v>2334</v>
      </c>
      <c r="I13" s="23" t="s">
        <v>85</v>
      </c>
      <c r="J13" s="24" t="s">
        <v>86</v>
      </c>
      <c r="K13" s="23">
        <v>2334</v>
      </c>
      <c r="L13" s="23" t="s">
        <v>87</v>
      </c>
      <c r="M13" s="24" t="s">
        <v>82</v>
      </c>
      <c r="N13" s="24" t="s">
        <v>47</v>
      </c>
      <c r="O13" s="25" t="s">
        <v>83</v>
      </c>
      <c r="P13" s="26" t="s">
        <v>84</v>
      </c>
    </row>
    <row r="14" spans="1:16" ht="12.75" customHeight="1" thickBot="1" x14ac:dyDescent="0.25">
      <c r="A14" s="3" t="str">
        <f t="shared" si="0"/>
        <v> AC 191.16 </v>
      </c>
      <c r="B14" s="2" t="str">
        <f t="shared" si="1"/>
        <v>I</v>
      </c>
      <c r="C14" s="3">
        <f t="shared" si="2"/>
        <v>18240.3</v>
      </c>
      <c r="D14" s="4" t="str">
        <f t="shared" si="3"/>
        <v>vis</v>
      </c>
      <c r="E14" s="22">
        <f>VLOOKUP(C14,Active!C$21:E$973,3,FALSE)</f>
        <v>86.984769102373832</v>
      </c>
      <c r="F14" s="2" t="s">
        <v>54</v>
      </c>
      <c r="G14" s="4" t="str">
        <f t="shared" si="4"/>
        <v>18240.30</v>
      </c>
      <c r="H14" s="3">
        <f t="shared" si="5"/>
        <v>87</v>
      </c>
      <c r="I14" s="23" t="s">
        <v>61</v>
      </c>
      <c r="J14" s="24" t="s">
        <v>62</v>
      </c>
      <c r="K14" s="23">
        <v>87</v>
      </c>
      <c r="L14" s="23" t="s">
        <v>63</v>
      </c>
      <c r="M14" s="24" t="s">
        <v>58</v>
      </c>
      <c r="N14" s="24"/>
      <c r="O14" s="25" t="s">
        <v>64</v>
      </c>
      <c r="P14" s="25" t="s">
        <v>65</v>
      </c>
    </row>
    <row r="15" spans="1:16" ht="12.75" customHeight="1" thickBot="1" x14ac:dyDescent="0.25">
      <c r="A15" s="3" t="str">
        <f t="shared" si="0"/>
        <v> PZ 5.255 </v>
      </c>
      <c r="B15" s="2" t="str">
        <f t="shared" si="1"/>
        <v>I</v>
      </c>
      <c r="C15" s="3">
        <f t="shared" si="2"/>
        <v>18275.39</v>
      </c>
      <c r="D15" s="4" t="str">
        <f t="shared" si="3"/>
        <v>vis</v>
      </c>
      <c r="E15" s="22">
        <f>VLOOKUP(C15,Active!C$21:E$973,3,FALSE)</f>
        <v>89.018453264094902</v>
      </c>
      <c r="F15" s="2" t="s">
        <v>54</v>
      </c>
      <c r="G15" s="4" t="str">
        <f t="shared" si="4"/>
        <v>18275.39</v>
      </c>
      <c r="H15" s="3">
        <f t="shared" si="5"/>
        <v>89</v>
      </c>
      <c r="I15" s="23" t="s">
        <v>66</v>
      </c>
      <c r="J15" s="24" t="s">
        <v>67</v>
      </c>
      <c r="K15" s="23">
        <v>89</v>
      </c>
      <c r="L15" s="23" t="s">
        <v>68</v>
      </c>
      <c r="M15" s="24" t="s">
        <v>58</v>
      </c>
      <c r="N15" s="24"/>
      <c r="O15" s="25" t="s">
        <v>59</v>
      </c>
      <c r="P15" s="25" t="s">
        <v>60</v>
      </c>
    </row>
    <row r="16" spans="1:16" ht="12.75" customHeight="1" thickBot="1" x14ac:dyDescent="0.25">
      <c r="A16" s="3" t="str">
        <f t="shared" si="0"/>
        <v> AC 191.16 </v>
      </c>
      <c r="B16" s="2" t="str">
        <f t="shared" si="1"/>
        <v>I</v>
      </c>
      <c r="C16" s="3">
        <f t="shared" si="2"/>
        <v>28593.25</v>
      </c>
      <c r="D16" s="4" t="str">
        <f t="shared" si="3"/>
        <v>vis</v>
      </c>
      <c r="E16" s="22">
        <f>VLOOKUP(C16,Active!C$21:E$973,3,FALSE)</f>
        <v>687.00273553412455</v>
      </c>
      <c r="F16" s="2" t="s">
        <v>54</v>
      </c>
      <c r="G16" s="4" t="str">
        <f t="shared" si="4"/>
        <v>28593.25</v>
      </c>
      <c r="H16" s="3">
        <f t="shared" si="5"/>
        <v>687</v>
      </c>
      <c r="I16" s="23" t="s">
        <v>69</v>
      </c>
      <c r="J16" s="24" t="s">
        <v>70</v>
      </c>
      <c r="K16" s="23">
        <v>687</v>
      </c>
      <c r="L16" s="23" t="s">
        <v>71</v>
      </c>
      <c r="M16" s="24" t="s">
        <v>58</v>
      </c>
      <c r="N16" s="24"/>
      <c r="O16" s="25" t="s">
        <v>64</v>
      </c>
      <c r="P16" s="25" t="s">
        <v>65</v>
      </c>
    </row>
    <row r="17" spans="1:16" ht="12.75" customHeight="1" thickBot="1" x14ac:dyDescent="0.25">
      <c r="A17" s="3" t="str">
        <f t="shared" si="0"/>
        <v> PZ 5.255 </v>
      </c>
      <c r="B17" s="2" t="str">
        <f t="shared" si="1"/>
        <v>I</v>
      </c>
      <c r="C17" s="3">
        <f t="shared" si="2"/>
        <v>29283.27</v>
      </c>
      <c r="D17" s="4" t="str">
        <f t="shared" si="3"/>
        <v>vis</v>
      </c>
      <c r="E17" s="22">
        <f>VLOOKUP(C17,Active!C$21:E$973,3,FALSE)</f>
        <v>726.99369436201778</v>
      </c>
      <c r="F17" s="2" t="s">
        <v>54</v>
      </c>
      <c r="G17" s="4" t="str">
        <f t="shared" si="4"/>
        <v>29283.27</v>
      </c>
      <c r="H17" s="3">
        <f t="shared" si="5"/>
        <v>727</v>
      </c>
      <c r="I17" s="23" t="s">
        <v>72</v>
      </c>
      <c r="J17" s="24" t="s">
        <v>73</v>
      </c>
      <c r="K17" s="23">
        <v>727</v>
      </c>
      <c r="L17" s="23" t="s">
        <v>74</v>
      </c>
      <c r="M17" s="24" t="s">
        <v>58</v>
      </c>
      <c r="N17" s="24"/>
      <c r="O17" s="25" t="s">
        <v>59</v>
      </c>
      <c r="P17" s="25" t="s">
        <v>60</v>
      </c>
    </row>
    <row r="18" spans="1:16" ht="12.75" customHeight="1" thickBot="1" x14ac:dyDescent="0.25">
      <c r="A18" s="3" t="str">
        <f t="shared" si="0"/>
        <v> SAC 34.108 </v>
      </c>
      <c r="B18" s="2" t="str">
        <f t="shared" si="1"/>
        <v>I</v>
      </c>
      <c r="C18" s="3">
        <f t="shared" si="2"/>
        <v>36081.75</v>
      </c>
      <c r="D18" s="4" t="str">
        <f t="shared" si="3"/>
        <v>vis</v>
      </c>
      <c r="E18" s="22">
        <f>VLOOKUP(C18,Active!C$21:E$973,3,FALSE)</f>
        <v>1121.007974777448</v>
      </c>
      <c r="F18" s="2" t="s">
        <v>54</v>
      </c>
      <c r="G18" s="4" t="str">
        <f t="shared" si="4"/>
        <v>36081.75</v>
      </c>
      <c r="H18" s="3">
        <f t="shared" si="5"/>
        <v>1121</v>
      </c>
      <c r="I18" s="23" t="s">
        <v>75</v>
      </c>
      <c r="J18" s="24" t="s">
        <v>76</v>
      </c>
      <c r="K18" s="23">
        <v>1121</v>
      </c>
      <c r="L18" s="23" t="s">
        <v>77</v>
      </c>
      <c r="M18" s="24" t="s">
        <v>58</v>
      </c>
      <c r="N18" s="24"/>
      <c r="O18" s="25" t="s">
        <v>64</v>
      </c>
      <c r="P18" s="25" t="s">
        <v>78</v>
      </c>
    </row>
    <row r="19" spans="1:16" x14ac:dyDescent="0.2">
      <c r="B19" s="2"/>
      <c r="F19" s="2"/>
    </row>
    <row r="20" spans="1:16" x14ac:dyDescent="0.2">
      <c r="B20" s="2"/>
      <c r="F20" s="2"/>
    </row>
    <row r="21" spans="1:16" x14ac:dyDescent="0.2">
      <c r="B21" s="2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</sheetData>
  <phoneticPr fontId="7" type="noConversion"/>
  <hyperlinks>
    <hyperlink ref="P12" r:id="rId1" display="http://var.astro.cz/oejv/issues/oejv0172.pdf"/>
    <hyperlink ref="P13" r:id="rId2" display="http://var.astro.cz/oejv/issues/oejv017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2024-03-03T04:12:31Z</dcterms:modified>
</cp:coreProperties>
</file>