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DE180FF-E3A5-4BE4-AF9E-EA5A161B21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89" i="1" l="1"/>
  <c r="F289" i="1"/>
  <c r="G289" i="1" s="1"/>
  <c r="K289" i="1" s="1"/>
  <c r="Q289" i="1"/>
  <c r="F4" i="1"/>
  <c r="F5" i="1" s="1"/>
  <c r="E288" i="1"/>
  <c r="F288" i="1" s="1"/>
  <c r="Q288" i="1"/>
  <c r="Q286" i="1"/>
  <c r="Q287" i="1"/>
  <c r="Q285" i="1"/>
  <c r="C7" i="1"/>
  <c r="E67" i="1" s="1"/>
  <c r="C8" i="1"/>
  <c r="C9" i="1"/>
  <c r="D9" i="1"/>
  <c r="D11" i="1"/>
  <c r="D12" i="1"/>
  <c r="D13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E55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E103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E158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E170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E228" i="1"/>
  <c r="Q228" i="1"/>
  <c r="Q229" i="1"/>
  <c r="E230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E253" i="1"/>
  <c r="F253" i="1" s="1"/>
  <c r="G253" i="1" s="1"/>
  <c r="J253" i="1" s="1"/>
  <c r="Q253" i="1"/>
  <c r="Q254" i="1"/>
  <c r="Q255" i="1"/>
  <c r="Q256" i="1"/>
  <c r="Q257" i="1"/>
  <c r="Q258" i="1"/>
  <c r="Q259" i="1"/>
  <c r="Q260" i="1"/>
  <c r="Q261" i="1"/>
  <c r="Q262" i="1"/>
  <c r="E263" i="1"/>
  <c r="F263" i="1" s="1"/>
  <c r="Q263" i="1"/>
  <c r="Q264" i="1"/>
  <c r="Q265" i="1"/>
  <c r="Q266" i="1"/>
  <c r="Q267" i="1"/>
  <c r="Q268" i="1"/>
  <c r="Q269" i="1"/>
  <c r="Q270" i="1"/>
  <c r="Q271" i="1"/>
  <c r="Q272" i="1"/>
  <c r="E273" i="1"/>
  <c r="F273" i="1" s="1"/>
  <c r="G273" i="1" s="1"/>
  <c r="K273" i="1" s="1"/>
  <c r="Q273" i="1"/>
  <c r="Q274" i="1"/>
  <c r="Q276" i="1"/>
  <c r="Q277" i="1"/>
  <c r="Q278" i="1"/>
  <c r="Q279" i="1"/>
  <c r="Q280" i="1"/>
  <c r="Q282" i="1"/>
  <c r="Q283" i="1"/>
  <c r="Q281" i="1"/>
  <c r="E284" i="1"/>
  <c r="F284" i="1" s="1"/>
  <c r="Q284" i="1"/>
  <c r="Q275" i="1"/>
  <c r="A11" i="2"/>
  <c r="B11" i="2"/>
  <c r="D11" i="2"/>
  <c r="G11" i="2"/>
  <c r="C11" i="2"/>
  <c r="H11" i="2"/>
  <c r="A12" i="2"/>
  <c r="D12" i="2"/>
  <c r="G12" i="2"/>
  <c r="C12" i="2"/>
  <c r="H12" i="2"/>
  <c r="B12" i="2"/>
  <c r="A13" i="2"/>
  <c r="D13" i="2"/>
  <c r="G13" i="2"/>
  <c r="C13" i="2"/>
  <c r="H13" i="2"/>
  <c r="B13" i="2"/>
  <c r="A14" i="2"/>
  <c r="D14" i="2"/>
  <c r="G14" i="2"/>
  <c r="C14" i="2"/>
  <c r="H14" i="2"/>
  <c r="B14" i="2"/>
  <c r="A15" i="2"/>
  <c r="B15" i="2"/>
  <c r="D15" i="2"/>
  <c r="G15" i="2"/>
  <c r="C15" i="2"/>
  <c r="H15" i="2"/>
  <c r="A16" i="2"/>
  <c r="B16" i="2"/>
  <c r="C16" i="2"/>
  <c r="D16" i="2"/>
  <c r="G16" i="2"/>
  <c r="H16" i="2"/>
  <c r="A17" i="2"/>
  <c r="B17" i="2"/>
  <c r="C17" i="2"/>
  <c r="D17" i="2"/>
  <c r="G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D22" i="2"/>
  <c r="G22" i="2"/>
  <c r="C22" i="2"/>
  <c r="H22" i="2"/>
  <c r="B22" i="2"/>
  <c r="A23" i="2"/>
  <c r="B23" i="2"/>
  <c r="D23" i="2"/>
  <c r="G23" i="2"/>
  <c r="C23" i="2"/>
  <c r="H23" i="2"/>
  <c r="A24" i="2"/>
  <c r="B24" i="2"/>
  <c r="C24" i="2"/>
  <c r="D24" i="2"/>
  <c r="G24" i="2"/>
  <c r="H24" i="2"/>
  <c r="A25" i="2"/>
  <c r="B25" i="2"/>
  <c r="C25" i="2"/>
  <c r="D25" i="2"/>
  <c r="G25" i="2"/>
  <c r="H25" i="2"/>
  <c r="A26" i="2"/>
  <c r="B26" i="2"/>
  <c r="C26" i="2"/>
  <c r="D26" i="2"/>
  <c r="G26" i="2"/>
  <c r="H26" i="2"/>
  <c r="A27" i="2"/>
  <c r="B27" i="2"/>
  <c r="D27" i="2"/>
  <c r="G27" i="2"/>
  <c r="C27" i="2"/>
  <c r="H27" i="2"/>
  <c r="A28" i="2"/>
  <c r="C28" i="2"/>
  <c r="D28" i="2"/>
  <c r="G28" i="2"/>
  <c r="H28" i="2"/>
  <c r="B28" i="2"/>
  <c r="A29" i="2"/>
  <c r="D29" i="2"/>
  <c r="G29" i="2"/>
  <c r="C29" i="2"/>
  <c r="H29" i="2"/>
  <c r="B29" i="2"/>
  <c r="A30" i="2"/>
  <c r="D30" i="2"/>
  <c r="G30" i="2"/>
  <c r="C30" i="2"/>
  <c r="H30" i="2"/>
  <c r="B30" i="2"/>
  <c r="A31" i="2"/>
  <c r="B31" i="2"/>
  <c r="D31" i="2"/>
  <c r="G31" i="2"/>
  <c r="C31" i="2"/>
  <c r="H31" i="2"/>
  <c r="A32" i="2"/>
  <c r="C32" i="2"/>
  <c r="D32" i="2"/>
  <c r="G32" i="2"/>
  <c r="H32" i="2"/>
  <c r="B32" i="2"/>
  <c r="A33" i="2"/>
  <c r="B33" i="2"/>
  <c r="C33" i="2"/>
  <c r="D33" i="2"/>
  <c r="G33" i="2"/>
  <c r="H33" i="2"/>
  <c r="A34" i="2"/>
  <c r="B34" i="2"/>
  <c r="C34" i="2"/>
  <c r="D34" i="2"/>
  <c r="G34" i="2"/>
  <c r="H34" i="2"/>
  <c r="A35" i="2"/>
  <c r="B35" i="2"/>
  <c r="D35" i="2"/>
  <c r="G35" i="2"/>
  <c r="C35" i="2"/>
  <c r="H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D38" i="2"/>
  <c r="G38" i="2"/>
  <c r="C38" i="2"/>
  <c r="H38" i="2"/>
  <c r="B38" i="2"/>
  <c r="A39" i="2"/>
  <c r="B39" i="2"/>
  <c r="D39" i="2"/>
  <c r="G39" i="2"/>
  <c r="C39" i="2"/>
  <c r="H39" i="2"/>
  <c r="A40" i="2"/>
  <c r="B40" i="2"/>
  <c r="C40" i="2"/>
  <c r="D40" i="2"/>
  <c r="G40" i="2"/>
  <c r="H40" i="2"/>
  <c r="A41" i="2"/>
  <c r="B41" i="2"/>
  <c r="C41" i="2"/>
  <c r="D41" i="2"/>
  <c r="G41" i="2"/>
  <c r="H41" i="2"/>
  <c r="A42" i="2"/>
  <c r="B42" i="2"/>
  <c r="C42" i="2"/>
  <c r="D42" i="2"/>
  <c r="G42" i="2"/>
  <c r="H42" i="2"/>
  <c r="A43" i="2"/>
  <c r="B43" i="2"/>
  <c r="D43" i="2"/>
  <c r="G43" i="2"/>
  <c r="C43" i="2"/>
  <c r="H43" i="2"/>
  <c r="A44" i="2"/>
  <c r="C44" i="2"/>
  <c r="D44" i="2"/>
  <c r="G44" i="2"/>
  <c r="H44" i="2"/>
  <c r="B44" i="2"/>
  <c r="A45" i="2"/>
  <c r="D45" i="2"/>
  <c r="G45" i="2"/>
  <c r="C45" i="2"/>
  <c r="H45" i="2"/>
  <c r="B45" i="2"/>
  <c r="A46" i="2"/>
  <c r="D46" i="2"/>
  <c r="G46" i="2"/>
  <c r="C46" i="2"/>
  <c r="H46" i="2"/>
  <c r="B46" i="2"/>
  <c r="A47" i="2"/>
  <c r="B47" i="2"/>
  <c r="D47" i="2"/>
  <c r="G47" i="2"/>
  <c r="C47" i="2"/>
  <c r="H47" i="2"/>
  <c r="A48" i="2"/>
  <c r="C48" i="2"/>
  <c r="D48" i="2"/>
  <c r="G48" i="2"/>
  <c r="H48" i="2"/>
  <c r="B48" i="2"/>
  <c r="A49" i="2"/>
  <c r="B49" i="2"/>
  <c r="C49" i="2"/>
  <c r="D49" i="2"/>
  <c r="G49" i="2"/>
  <c r="H49" i="2"/>
  <c r="A50" i="2"/>
  <c r="B50" i="2"/>
  <c r="C50" i="2"/>
  <c r="D50" i="2"/>
  <c r="G50" i="2"/>
  <c r="H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H55" i="2"/>
  <c r="A56" i="2"/>
  <c r="B56" i="2"/>
  <c r="C56" i="2"/>
  <c r="D56" i="2"/>
  <c r="G56" i="2"/>
  <c r="H56" i="2"/>
  <c r="A57" i="2"/>
  <c r="B57" i="2"/>
  <c r="C57" i="2"/>
  <c r="D57" i="2"/>
  <c r="G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C60" i="2"/>
  <c r="D60" i="2"/>
  <c r="G60" i="2"/>
  <c r="H60" i="2"/>
  <c r="B60" i="2"/>
  <c r="A61" i="2"/>
  <c r="D61" i="2"/>
  <c r="G61" i="2"/>
  <c r="C61" i="2"/>
  <c r="H61" i="2"/>
  <c r="B61" i="2"/>
  <c r="A62" i="2"/>
  <c r="D62" i="2"/>
  <c r="G62" i="2"/>
  <c r="C62" i="2"/>
  <c r="H62" i="2"/>
  <c r="B62" i="2"/>
  <c r="A63" i="2"/>
  <c r="B63" i="2"/>
  <c r="C63" i="2"/>
  <c r="D63" i="2"/>
  <c r="G63" i="2"/>
  <c r="H63" i="2"/>
  <c r="A64" i="2"/>
  <c r="C64" i="2"/>
  <c r="D64" i="2"/>
  <c r="G64" i="2"/>
  <c r="H64" i="2"/>
  <c r="B64" i="2"/>
  <c r="A65" i="2"/>
  <c r="B65" i="2"/>
  <c r="C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H67" i="2"/>
  <c r="A68" i="2"/>
  <c r="C68" i="2"/>
  <c r="D68" i="2"/>
  <c r="G68" i="2"/>
  <c r="H68" i="2"/>
  <c r="B68" i="2"/>
  <c r="A69" i="2"/>
  <c r="D69" i="2"/>
  <c r="G69" i="2"/>
  <c r="C69" i="2"/>
  <c r="H69" i="2"/>
  <c r="B69" i="2"/>
  <c r="A70" i="2"/>
  <c r="B70" i="2"/>
  <c r="D70" i="2"/>
  <c r="G70" i="2"/>
  <c r="C70" i="2"/>
  <c r="H70" i="2"/>
  <c r="A71" i="2"/>
  <c r="B71" i="2"/>
  <c r="D71" i="2"/>
  <c r="G71" i="2"/>
  <c r="C71" i="2"/>
  <c r="H71" i="2"/>
  <c r="A72" i="2"/>
  <c r="B72" i="2"/>
  <c r="D72" i="2"/>
  <c r="F72" i="2"/>
  <c r="G72" i="2"/>
  <c r="C72" i="2"/>
  <c r="H72" i="2"/>
  <c r="A73" i="2"/>
  <c r="B73" i="2"/>
  <c r="D73" i="2"/>
  <c r="F73" i="2"/>
  <c r="G73" i="2"/>
  <c r="C73" i="2"/>
  <c r="H73" i="2"/>
  <c r="A74" i="2"/>
  <c r="B74" i="2"/>
  <c r="D74" i="2"/>
  <c r="F74" i="2"/>
  <c r="G74" i="2"/>
  <c r="C74" i="2"/>
  <c r="H74" i="2"/>
  <c r="A75" i="2"/>
  <c r="B75" i="2"/>
  <c r="D75" i="2"/>
  <c r="F75" i="2"/>
  <c r="G75" i="2"/>
  <c r="C75" i="2"/>
  <c r="H75" i="2"/>
  <c r="A76" i="2"/>
  <c r="B76" i="2"/>
  <c r="D76" i="2"/>
  <c r="F76" i="2"/>
  <c r="G76" i="2"/>
  <c r="C76" i="2"/>
  <c r="H76" i="2"/>
  <c r="A77" i="2"/>
  <c r="D77" i="2"/>
  <c r="G77" i="2"/>
  <c r="C77" i="2"/>
  <c r="H77" i="2"/>
  <c r="B77" i="2"/>
  <c r="A78" i="2"/>
  <c r="B78" i="2"/>
  <c r="C78" i="2"/>
  <c r="D78" i="2"/>
  <c r="G78" i="2"/>
  <c r="H78" i="2"/>
  <c r="A79" i="2"/>
  <c r="B79" i="2"/>
  <c r="D79" i="2"/>
  <c r="G79" i="2"/>
  <c r="C79" i="2"/>
  <c r="H79" i="2"/>
  <c r="A80" i="2"/>
  <c r="D80" i="2"/>
  <c r="G80" i="2"/>
  <c r="C80" i="2"/>
  <c r="H80" i="2"/>
  <c r="B80" i="2"/>
  <c r="A81" i="2"/>
  <c r="D81" i="2"/>
  <c r="G81" i="2"/>
  <c r="C81" i="2"/>
  <c r="H81" i="2"/>
  <c r="B81" i="2"/>
  <c r="A82" i="2"/>
  <c r="D82" i="2"/>
  <c r="G82" i="2"/>
  <c r="C82" i="2"/>
  <c r="H82" i="2"/>
  <c r="B82" i="2"/>
  <c r="A83" i="2"/>
  <c r="B83" i="2"/>
  <c r="D83" i="2"/>
  <c r="G83" i="2"/>
  <c r="C83" i="2"/>
  <c r="H83" i="2"/>
  <c r="A84" i="2"/>
  <c r="B84" i="2"/>
  <c r="D84" i="2"/>
  <c r="G84" i="2"/>
  <c r="C84" i="2"/>
  <c r="H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B87" i="2"/>
  <c r="C87" i="2"/>
  <c r="D87" i="2"/>
  <c r="G87" i="2"/>
  <c r="H87" i="2"/>
  <c r="A88" i="2"/>
  <c r="D88" i="2"/>
  <c r="G88" i="2"/>
  <c r="C88" i="2"/>
  <c r="H88" i="2"/>
  <c r="B88" i="2"/>
  <c r="A89" i="2"/>
  <c r="B89" i="2"/>
  <c r="C89" i="2"/>
  <c r="D89" i="2"/>
  <c r="G89" i="2"/>
  <c r="H89" i="2"/>
  <c r="A90" i="2"/>
  <c r="D90" i="2"/>
  <c r="G90" i="2"/>
  <c r="C90" i="2"/>
  <c r="H90" i="2"/>
  <c r="B90" i="2"/>
  <c r="A91" i="2"/>
  <c r="D91" i="2"/>
  <c r="G91" i="2"/>
  <c r="C91" i="2"/>
  <c r="H91" i="2"/>
  <c r="B91" i="2"/>
  <c r="A92" i="2"/>
  <c r="B92" i="2"/>
  <c r="C92" i="2"/>
  <c r="D92" i="2"/>
  <c r="G92" i="2"/>
  <c r="H92" i="2"/>
  <c r="A93" i="2"/>
  <c r="C93" i="2"/>
  <c r="D93" i="2"/>
  <c r="G93" i="2"/>
  <c r="H93" i="2"/>
  <c r="B93" i="2"/>
  <c r="A94" i="2"/>
  <c r="B94" i="2"/>
  <c r="C94" i="2"/>
  <c r="D94" i="2"/>
  <c r="G94" i="2"/>
  <c r="H94" i="2"/>
  <c r="A95" i="2"/>
  <c r="B95" i="2"/>
  <c r="D95" i="2"/>
  <c r="G95" i="2"/>
  <c r="C95" i="2"/>
  <c r="H95" i="2"/>
  <c r="A96" i="2"/>
  <c r="D96" i="2"/>
  <c r="G96" i="2"/>
  <c r="C96" i="2"/>
  <c r="H96" i="2"/>
  <c r="B96" i="2"/>
  <c r="A97" i="2"/>
  <c r="D97" i="2"/>
  <c r="G97" i="2"/>
  <c r="C97" i="2"/>
  <c r="H97" i="2"/>
  <c r="B97" i="2"/>
  <c r="A98" i="2"/>
  <c r="C98" i="2"/>
  <c r="D98" i="2"/>
  <c r="G98" i="2"/>
  <c r="H98" i="2"/>
  <c r="B98" i="2"/>
  <c r="A99" i="2"/>
  <c r="D99" i="2"/>
  <c r="G99" i="2"/>
  <c r="C99" i="2"/>
  <c r="H99" i="2"/>
  <c r="B99" i="2"/>
  <c r="A100" i="2"/>
  <c r="B100" i="2"/>
  <c r="C100" i="2"/>
  <c r="D100" i="2"/>
  <c r="G100" i="2"/>
  <c r="H100" i="2"/>
  <c r="A101" i="2"/>
  <c r="C101" i="2"/>
  <c r="D101" i="2"/>
  <c r="G101" i="2"/>
  <c r="H101" i="2"/>
  <c r="B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B104" i="2"/>
  <c r="C104" i="2"/>
  <c r="D104" i="2"/>
  <c r="G104" i="2"/>
  <c r="H104" i="2"/>
  <c r="A105" i="2"/>
  <c r="B105" i="2"/>
  <c r="C105" i="2"/>
  <c r="D105" i="2"/>
  <c r="G105" i="2"/>
  <c r="H105" i="2"/>
  <c r="A106" i="2"/>
  <c r="C106" i="2"/>
  <c r="D106" i="2"/>
  <c r="G106" i="2"/>
  <c r="H106" i="2"/>
  <c r="B106" i="2"/>
  <c r="A107" i="2"/>
  <c r="D107" i="2"/>
  <c r="G107" i="2"/>
  <c r="C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B110" i="2"/>
  <c r="C110" i="2"/>
  <c r="D110" i="2"/>
  <c r="G110" i="2"/>
  <c r="H110" i="2"/>
  <c r="A111" i="2"/>
  <c r="B111" i="2"/>
  <c r="C111" i="2"/>
  <c r="D111" i="2"/>
  <c r="G111" i="2"/>
  <c r="H111" i="2"/>
  <c r="A112" i="2"/>
  <c r="B112" i="2"/>
  <c r="C112" i="2"/>
  <c r="D112" i="2"/>
  <c r="G112" i="2"/>
  <c r="H112" i="2"/>
  <c r="A113" i="2"/>
  <c r="B113" i="2"/>
  <c r="C113" i="2"/>
  <c r="D113" i="2"/>
  <c r="G113" i="2"/>
  <c r="H113" i="2"/>
  <c r="A114" i="2"/>
  <c r="D114" i="2"/>
  <c r="G114" i="2"/>
  <c r="C114" i="2"/>
  <c r="H114" i="2"/>
  <c r="B114" i="2"/>
  <c r="A115" i="2"/>
  <c r="D115" i="2"/>
  <c r="G115" i="2"/>
  <c r="C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B118" i="2"/>
  <c r="C118" i="2"/>
  <c r="D118" i="2"/>
  <c r="G118" i="2"/>
  <c r="H118" i="2"/>
  <c r="A119" i="2"/>
  <c r="B119" i="2"/>
  <c r="C119" i="2"/>
  <c r="D119" i="2"/>
  <c r="G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B126" i="2"/>
  <c r="C126" i="2"/>
  <c r="D126" i="2"/>
  <c r="G126" i="2"/>
  <c r="H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B129" i="2"/>
  <c r="C129" i="2"/>
  <c r="D129" i="2"/>
  <c r="G129" i="2"/>
  <c r="H129" i="2"/>
  <c r="A130" i="2"/>
  <c r="D130" i="2"/>
  <c r="G130" i="2"/>
  <c r="C130" i="2"/>
  <c r="H130" i="2"/>
  <c r="B130" i="2"/>
  <c r="A131" i="2"/>
  <c r="B131" i="2"/>
  <c r="D131" i="2"/>
  <c r="G131" i="2"/>
  <c r="C131" i="2"/>
  <c r="H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B134" i="2"/>
  <c r="C134" i="2"/>
  <c r="D134" i="2"/>
  <c r="G134" i="2"/>
  <c r="H134" i="2"/>
  <c r="A135" i="2"/>
  <c r="B135" i="2"/>
  <c r="D135" i="2"/>
  <c r="G135" i="2"/>
  <c r="C135" i="2"/>
  <c r="H135" i="2"/>
  <c r="A136" i="2"/>
  <c r="C136" i="2"/>
  <c r="D136" i="2"/>
  <c r="G136" i="2"/>
  <c r="H136" i="2"/>
  <c r="B136" i="2"/>
  <c r="A137" i="2"/>
  <c r="B137" i="2"/>
  <c r="C137" i="2"/>
  <c r="D137" i="2"/>
  <c r="G137" i="2"/>
  <c r="H137" i="2"/>
  <c r="A138" i="2"/>
  <c r="D138" i="2"/>
  <c r="G138" i="2"/>
  <c r="C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D141" i="2"/>
  <c r="G141" i="2"/>
  <c r="C141" i="2"/>
  <c r="H141" i="2"/>
  <c r="B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D146" i="2"/>
  <c r="G146" i="2"/>
  <c r="C146" i="2"/>
  <c r="H146" i="2"/>
  <c r="B146" i="2"/>
  <c r="A147" i="2"/>
  <c r="D147" i="2"/>
  <c r="G147" i="2"/>
  <c r="C147" i="2"/>
  <c r="H147" i="2"/>
  <c r="B147" i="2"/>
  <c r="A148" i="2"/>
  <c r="C148" i="2"/>
  <c r="D148" i="2"/>
  <c r="G148" i="2"/>
  <c r="H148" i="2"/>
  <c r="B148" i="2"/>
  <c r="A149" i="2"/>
  <c r="D149" i="2"/>
  <c r="G149" i="2"/>
  <c r="C149" i="2"/>
  <c r="H149" i="2"/>
  <c r="B149" i="2"/>
  <c r="A150" i="2"/>
  <c r="B150" i="2"/>
  <c r="C150" i="2"/>
  <c r="D150" i="2"/>
  <c r="G150" i="2"/>
  <c r="H150" i="2"/>
  <c r="A151" i="2"/>
  <c r="B151" i="2"/>
  <c r="D151" i="2"/>
  <c r="G151" i="2"/>
  <c r="C151" i="2"/>
  <c r="H151" i="2"/>
  <c r="A152" i="2"/>
  <c r="C152" i="2"/>
  <c r="D152" i="2"/>
  <c r="G152" i="2"/>
  <c r="H152" i="2"/>
  <c r="B152" i="2"/>
  <c r="A153" i="2"/>
  <c r="B153" i="2"/>
  <c r="C153" i="2"/>
  <c r="D153" i="2"/>
  <c r="G153" i="2"/>
  <c r="H153" i="2"/>
  <c r="A154" i="2"/>
  <c r="D154" i="2"/>
  <c r="G154" i="2"/>
  <c r="C154" i="2"/>
  <c r="H154" i="2"/>
  <c r="B154" i="2"/>
  <c r="A155" i="2"/>
  <c r="B155" i="2"/>
  <c r="D155" i="2"/>
  <c r="G155" i="2"/>
  <c r="C155" i="2"/>
  <c r="H155" i="2"/>
  <c r="A156" i="2"/>
  <c r="C156" i="2"/>
  <c r="D156" i="2"/>
  <c r="G156" i="2"/>
  <c r="H156" i="2"/>
  <c r="B156" i="2"/>
  <c r="A157" i="2"/>
  <c r="B157" i="2"/>
  <c r="D157" i="2"/>
  <c r="G157" i="2"/>
  <c r="C157" i="2"/>
  <c r="H157" i="2"/>
  <c r="A158" i="2"/>
  <c r="B158" i="2"/>
  <c r="C158" i="2"/>
  <c r="D158" i="2"/>
  <c r="G158" i="2"/>
  <c r="H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C161" i="2"/>
  <c r="D161" i="2"/>
  <c r="G161" i="2"/>
  <c r="H161" i="2"/>
  <c r="A162" i="2"/>
  <c r="D162" i="2"/>
  <c r="G162" i="2"/>
  <c r="C162" i="2"/>
  <c r="H162" i="2"/>
  <c r="B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B166" i="2"/>
  <c r="C166" i="2"/>
  <c r="D166" i="2"/>
  <c r="G166" i="2"/>
  <c r="H166" i="2"/>
  <c r="A167" i="2"/>
  <c r="B167" i="2"/>
  <c r="C167" i="2"/>
  <c r="D167" i="2"/>
  <c r="G167" i="2"/>
  <c r="H167" i="2"/>
  <c r="A168" i="2"/>
  <c r="C168" i="2"/>
  <c r="D168" i="2"/>
  <c r="G168" i="2"/>
  <c r="H168" i="2"/>
  <c r="B168" i="2"/>
  <c r="A169" i="2"/>
  <c r="B169" i="2"/>
  <c r="D169" i="2"/>
  <c r="G169" i="2"/>
  <c r="C169" i="2"/>
  <c r="H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D172" i="2"/>
  <c r="G172" i="2"/>
  <c r="C172" i="2"/>
  <c r="H172" i="2"/>
  <c r="B172" i="2"/>
  <c r="A173" i="2"/>
  <c r="B173" i="2"/>
  <c r="D173" i="2"/>
  <c r="G173" i="2"/>
  <c r="C173" i="2"/>
  <c r="H173" i="2"/>
  <c r="A174" i="2"/>
  <c r="B174" i="2"/>
  <c r="C174" i="2"/>
  <c r="D174" i="2"/>
  <c r="G174" i="2"/>
  <c r="H174" i="2"/>
  <c r="A175" i="2"/>
  <c r="B175" i="2"/>
  <c r="C175" i="2"/>
  <c r="D175" i="2"/>
  <c r="G175" i="2"/>
  <c r="H175" i="2"/>
  <c r="A176" i="2"/>
  <c r="B176" i="2"/>
  <c r="C176" i="2"/>
  <c r="D176" i="2"/>
  <c r="G176" i="2"/>
  <c r="H176" i="2"/>
  <c r="A177" i="2"/>
  <c r="B177" i="2"/>
  <c r="C177" i="2"/>
  <c r="D177" i="2"/>
  <c r="G177" i="2"/>
  <c r="H177" i="2"/>
  <c r="A178" i="2"/>
  <c r="D178" i="2"/>
  <c r="G178" i="2"/>
  <c r="C178" i="2"/>
  <c r="H178" i="2"/>
  <c r="B178" i="2"/>
  <c r="A179" i="2"/>
  <c r="B179" i="2"/>
  <c r="D179" i="2"/>
  <c r="G179" i="2"/>
  <c r="C179" i="2"/>
  <c r="H179" i="2"/>
  <c r="A180" i="2"/>
  <c r="D180" i="2"/>
  <c r="G180" i="2"/>
  <c r="C180" i="2"/>
  <c r="H180" i="2"/>
  <c r="B180" i="2"/>
  <c r="A181" i="2"/>
  <c r="D181" i="2"/>
  <c r="G181" i="2"/>
  <c r="C181" i="2"/>
  <c r="H181" i="2"/>
  <c r="B181" i="2"/>
  <c r="A182" i="2"/>
  <c r="B182" i="2"/>
  <c r="C182" i="2"/>
  <c r="D182" i="2"/>
  <c r="G182" i="2"/>
  <c r="H182" i="2"/>
  <c r="A183" i="2"/>
  <c r="B183" i="2"/>
  <c r="D183" i="2"/>
  <c r="G183" i="2"/>
  <c r="C183" i="2"/>
  <c r="H183" i="2"/>
  <c r="A184" i="2"/>
  <c r="C184" i="2"/>
  <c r="D184" i="2"/>
  <c r="G184" i="2"/>
  <c r="H184" i="2"/>
  <c r="B184" i="2"/>
  <c r="A185" i="2"/>
  <c r="B185" i="2"/>
  <c r="D185" i="2"/>
  <c r="G185" i="2"/>
  <c r="C185" i="2"/>
  <c r="H185" i="2"/>
  <c r="A186" i="2"/>
  <c r="D186" i="2"/>
  <c r="G186" i="2"/>
  <c r="C186" i="2"/>
  <c r="H186" i="2"/>
  <c r="B186" i="2"/>
  <c r="A187" i="2"/>
  <c r="D187" i="2"/>
  <c r="G187" i="2"/>
  <c r="C187" i="2"/>
  <c r="H187" i="2"/>
  <c r="B187" i="2"/>
  <c r="A188" i="2"/>
  <c r="C188" i="2"/>
  <c r="D188" i="2"/>
  <c r="G188" i="2"/>
  <c r="H188" i="2"/>
  <c r="B188" i="2"/>
  <c r="A189" i="2"/>
  <c r="B189" i="2"/>
  <c r="D189" i="2"/>
  <c r="G189" i="2"/>
  <c r="C189" i="2"/>
  <c r="H189" i="2"/>
  <c r="A190" i="2"/>
  <c r="B190" i="2"/>
  <c r="C190" i="2"/>
  <c r="D190" i="2"/>
  <c r="G190" i="2"/>
  <c r="H190" i="2"/>
  <c r="A191" i="2"/>
  <c r="B191" i="2"/>
  <c r="D191" i="2"/>
  <c r="G191" i="2"/>
  <c r="C191" i="2"/>
  <c r="H191" i="2"/>
  <c r="A192" i="2"/>
  <c r="C192" i="2"/>
  <c r="D192" i="2"/>
  <c r="G192" i="2"/>
  <c r="H192" i="2"/>
  <c r="B192" i="2"/>
  <c r="A193" i="2"/>
  <c r="B193" i="2"/>
  <c r="C193" i="2"/>
  <c r="D193" i="2"/>
  <c r="G193" i="2"/>
  <c r="H193" i="2"/>
  <c r="A194" i="2"/>
  <c r="D194" i="2"/>
  <c r="G194" i="2"/>
  <c r="C194" i="2"/>
  <c r="H194" i="2"/>
  <c r="B194" i="2"/>
  <c r="A195" i="2"/>
  <c r="D195" i="2"/>
  <c r="G195" i="2"/>
  <c r="C195" i="2"/>
  <c r="H195" i="2"/>
  <c r="B195" i="2"/>
  <c r="A196" i="2"/>
  <c r="C196" i="2"/>
  <c r="D196" i="2"/>
  <c r="G196" i="2"/>
  <c r="H196" i="2"/>
  <c r="B196" i="2"/>
  <c r="A197" i="2"/>
  <c r="B197" i="2"/>
  <c r="D197" i="2"/>
  <c r="G197" i="2"/>
  <c r="C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H199" i="2"/>
  <c r="A200" i="2"/>
  <c r="C200" i="2"/>
  <c r="D200" i="2"/>
  <c r="G200" i="2"/>
  <c r="H200" i="2"/>
  <c r="B200" i="2"/>
  <c r="A201" i="2"/>
  <c r="B201" i="2"/>
  <c r="C201" i="2"/>
  <c r="D201" i="2"/>
  <c r="G201" i="2"/>
  <c r="H201" i="2"/>
  <c r="A202" i="2"/>
  <c r="C202" i="2"/>
  <c r="D202" i="2"/>
  <c r="G202" i="2"/>
  <c r="H202" i="2"/>
  <c r="B202" i="2"/>
  <c r="A203" i="2"/>
  <c r="B203" i="2"/>
  <c r="D203" i="2"/>
  <c r="G203" i="2"/>
  <c r="C203" i="2"/>
  <c r="H203" i="2"/>
  <c r="A204" i="2"/>
  <c r="C204" i="2"/>
  <c r="D204" i="2"/>
  <c r="G204" i="2"/>
  <c r="H204" i="2"/>
  <c r="B204" i="2"/>
  <c r="A205" i="2"/>
  <c r="B205" i="2"/>
  <c r="D205" i="2"/>
  <c r="G205" i="2"/>
  <c r="C205" i="2"/>
  <c r="H205" i="2"/>
  <c r="A206" i="2"/>
  <c r="C206" i="2"/>
  <c r="D206" i="2"/>
  <c r="G206" i="2"/>
  <c r="H206" i="2"/>
  <c r="B206" i="2"/>
  <c r="A207" i="2"/>
  <c r="B207" i="2"/>
  <c r="C207" i="2"/>
  <c r="D207" i="2"/>
  <c r="G207" i="2"/>
  <c r="H207" i="2"/>
  <c r="A208" i="2"/>
  <c r="B208" i="2"/>
  <c r="C208" i="2"/>
  <c r="D208" i="2"/>
  <c r="G208" i="2"/>
  <c r="H208" i="2"/>
  <c r="A209" i="2"/>
  <c r="B209" i="2"/>
  <c r="C209" i="2"/>
  <c r="D209" i="2"/>
  <c r="G209" i="2"/>
  <c r="H209" i="2"/>
  <c r="A210" i="2"/>
  <c r="C210" i="2"/>
  <c r="D210" i="2"/>
  <c r="G210" i="2"/>
  <c r="H210" i="2"/>
  <c r="B210" i="2"/>
  <c r="A211" i="2"/>
  <c r="D211" i="2"/>
  <c r="G211" i="2"/>
  <c r="C211" i="2"/>
  <c r="H211" i="2"/>
  <c r="B211" i="2"/>
  <c r="A212" i="2"/>
  <c r="C212" i="2"/>
  <c r="D212" i="2"/>
  <c r="G212" i="2"/>
  <c r="H212" i="2"/>
  <c r="B212" i="2"/>
  <c r="A213" i="2"/>
  <c r="B213" i="2"/>
  <c r="D213" i="2"/>
  <c r="G213" i="2"/>
  <c r="C213" i="2"/>
  <c r="H213" i="2"/>
  <c r="A214" i="2"/>
  <c r="C214" i="2"/>
  <c r="D214" i="2"/>
  <c r="G214" i="2"/>
  <c r="H214" i="2"/>
  <c r="B214" i="2"/>
  <c r="A215" i="2"/>
  <c r="B215" i="2"/>
  <c r="D215" i="2"/>
  <c r="G215" i="2"/>
  <c r="C215" i="2"/>
  <c r="H215" i="2"/>
  <c r="A216" i="2"/>
  <c r="B216" i="2"/>
  <c r="C216" i="2"/>
  <c r="D216" i="2"/>
  <c r="G216" i="2"/>
  <c r="H216" i="2"/>
  <c r="A217" i="2"/>
  <c r="B217" i="2"/>
  <c r="C217" i="2"/>
  <c r="D217" i="2"/>
  <c r="G217" i="2"/>
  <c r="H217" i="2"/>
  <c r="A218" i="2"/>
  <c r="C218" i="2"/>
  <c r="D218" i="2"/>
  <c r="G218" i="2"/>
  <c r="H218" i="2"/>
  <c r="B218" i="2"/>
  <c r="A219" i="2"/>
  <c r="D219" i="2"/>
  <c r="G219" i="2"/>
  <c r="C219" i="2"/>
  <c r="H219" i="2"/>
  <c r="B219" i="2"/>
  <c r="A220" i="2"/>
  <c r="C220" i="2"/>
  <c r="D220" i="2"/>
  <c r="G220" i="2"/>
  <c r="H220" i="2"/>
  <c r="B220" i="2"/>
  <c r="A221" i="2"/>
  <c r="B221" i="2"/>
  <c r="D221" i="2"/>
  <c r="G221" i="2"/>
  <c r="C221" i="2"/>
  <c r="H221" i="2"/>
  <c r="A222" i="2"/>
  <c r="C222" i="2"/>
  <c r="D222" i="2"/>
  <c r="G222" i="2"/>
  <c r="H222" i="2"/>
  <c r="B222" i="2"/>
  <c r="A223" i="2"/>
  <c r="B223" i="2"/>
  <c r="C223" i="2"/>
  <c r="D223" i="2"/>
  <c r="G223" i="2"/>
  <c r="H223" i="2"/>
  <c r="A224" i="2"/>
  <c r="B224" i="2"/>
  <c r="C224" i="2"/>
  <c r="D224" i="2"/>
  <c r="G224" i="2"/>
  <c r="H224" i="2"/>
  <c r="A225" i="2"/>
  <c r="B225" i="2"/>
  <c r="C225" i="2"/>
  <c r="D225" i="2"/>
  <c r="G225" i="2"/>
  <c r="H225" i="2"/>
  <c r="A226" i="2"/>
  <c r="C226" i="2"/>
  <c r="D226" i="2"/>
  <c r="G226" i="2"/>
  <c r="H226" i="2"/>
  <c r="B226" i="2"/>
  <c r="A227" i="2"/>
  <c r="D227" i="2"/>
  <c r="E227" i="2"/>
  <c r="G227" i="2"/>
  <c r="C227" i="2"/>
  <c r="H227" i="2"/>
  <c r="B227" i="2"/>
  <c r="A228" i="2"/>
  <c r="C228" i="2"/>
  <c r="D228" i="2"/>
  <c r="G228" i="2"/>
  <c r="H228" i="2"/>
  <c r="B228" i="2"/>
  <c r="A229" i="2"/>
  <c r="B229" i="2"/>
  <c r="D229" i="2"/>
  <c r="G229" i="2"/>
  <c r="C229" i="2"/>
  <c r="E229" i="2"/>
  <c r="H229" i="2"/>
  <c r="A230" i="2"/>
  <c r="C230" i="2"/>
  <c r="D230" i="2"/>
  <c r="G230" i="2"/>
  <c r="H230" i="2"/>
  <c r="B230" i="2"/>
  <c r="A231" i="2"/>
  <c r="B231" i="2"/>
  <c r="D231" i="2"/>
  <c r="G231" i="2"/>
  <c r="C231" i="2"/>
  <c r="H231" i="2"/>
  <c r="A232" i="2"/>
  <c r="C232" i="2"/>
  <c r="D232" i="2"/>
  <c r="G232" i="2"/>
  <c r="H232" i="2"/>
  <c r="B232" i="2"/>
  <c r="A233" i="2"/>
  <c r="B233" i="2"/>
  <c r="C233" i="2"/>
  <c r="D233" i="2"/>
  <c r="G233" i="2"/>
  <c r="H233" i="2"/>
  <c r="A234" i="2"/>
  <c r="D234" i="2"/>
  <c r="G234" i="2"/>
  <c r="C234" i="2"/>
  <c r="H234" i="2"/>
  <c r="B234" i="2"/>
  <c r="A235" i="2"/>
  <c r="B235" i="2"/>
  <c r="D235" i="2"/>
  <c r="G235" i="2"/>
  <c r="C235" i="2"/>
  <c r="H235" i="2"/>
  <c r="G4" i="3"/>
  <c r="G5" i="3"/>
  <c r="G6" i="3"/>
  <c r="G7" i="3"/>
  <c r="G12" i="3"/>
  <c r="I12" i="3"/>
  <c r="K12" i="3"/>
  <c r="O12" i="3"/>
  <c r="A13" i="3"/>
  <c r="H13" i="3"/>
  <c r="L13" i="3"/>
  <c r="M13" i="3"/>
  <c r="N13" i="3"/>
  <c r="F15" i="3"/>
  <c r="F12" i="3"/>
  <c r="G15" i="3"/>
  <c r="G13" i="3"/>
  <c r="I15" i="3"/>
  <c r="I13" i="3"/>
  <c r="L15" i="3"/>
  <c r="L12" i="3"/>
  <c r="N15" i="3"/>
  <c r="N12" i="3"/>
  <c r="O15" i="3"/>
  <c r="O13" i="3"/>
  <c r="D16" i="3"/>
  <c r="D15" i="3"/>
  <c r="D12" i="3"/>
  <c r="E16" i="3"/>
  <c r="E15" i="3"/>
  <c r="E13" i="3"/>
  <c r="F16" i="3"/>
  <c r="G16" i="3"/>
  <c r="H16" i="3"/>
  <c r="H15" i="3"/>
  <c r="H12" i="3"/>
  <c r="I16" i="3"/>
  <c r="J16" i="3"/>
  <c r="J15" i="3"/>
  <c r="J13" i="3"/>
  <c r="K16" i="3"/>
  <c r="K15" i="3"/>
  <c r="K13" i="3"/>
  <c r="L16" i="3"/>
  <c r="M16" i="3"/>
  <c r="M15" i="3"/>
  <c r="M12" i="3"/>
  <c r="N16" i="3"/>
  <c r="O16" i="3"/>
  <c r="D17" i="3"/>
  <c r="D21" i="3"/>
  <c r="I21" i="3" s="1"/>
  <c r="J21" i="3" s="1"/>
  <c r="E21" i="3"/>
  <c r="D22" i="3"/>
  <c r="F22" i="3" s="1"/>
  <c r="G22" i="3" s="1"/>
  <c r="E22" i="3"/>
  <c r="D23" i="3"/>
  <c r="I23" i="3" s="1"/>
  <c r="J23" i="3" s="1"/>
  <c r="E23" i="3"/>
  <c r="D24" i="3"/>
  <c r="E24" i="3"/>
  <c r="D25" i="3"/>
  <c r="I25" i="3" s="1"/>
  <c r="J25" i="3" s="1"/>
  <c r="E25" i="3"/>
  <c r="D26" i="3"/>
  <c r="I26" i="3" s="1"/>
  <c r="J26" i="3" s="1"/>
  <c r="E26" i="3"/>
  <c r="D27" i="3"/>
  <c r="F27" i="3" s="1"/>
  <c r="E27" i="3"/>
  <c r="D28" i="3"/>
  <c r="F28" i="3" s="1"/>
  <c r="E28" i="3"/>
  <c r="D29" i="3"/>
  <c r="I29" i="3" s="1"/>
  <c r="J29" i="3" s="1"/>
  <c r="E29" i="3"/>
  <c r="D30" i="3"/>
  <c r="I30" i="3" s="1"/>
  <c r="J30" i="3" s="1"/>
  <c r="E30" i="3"/>
  <c r="F30" i="3"/>
  <c r="H30" i="3" s="1"/>
  <c r="D31" i="3"/>
  <c r="I31" i="3" s="1"/>
  <c r="J31" i="3" s="1"/>
  <c r="E31" i="3"/>
  <c r="D32" i="3"/>
  <c r="F32" i="3" s="1"/>
  <c r="E32" i="3"/>
  <c r="D33" i="3"/>
  <c r="I33" i="3" s="1"/>
  <c r="J33" i="3" s="1"/>
  <c r="E33" i="3"/>
  <c r="D34" i="3"/>
  <c r="F34" i="3" s="1"/>
  <c r="H34" i="3" s="1"/>
  <c r="E34" i="3"/>
  <c r="D35" i="3"/>
  <c r="F35" i="3" s="1"/>
  <c r="E35" i="3"/>
  <c r="D36" i="3"/>
  <c r="F36" i="3" s="1"/>
  <c r="H36" i="3" s="1"/>
  <c r="E36" i="3"/>
  <c r="D37" i="3"/>
  <c r="E37" i="3"/>
  <c r="D38" i="3"/>
  <c r="E38" i="3"/>
  <c r="D39" i="3"/>
  <c r="E39" i="3"/>
  <c r="D40" i="3"/>
  <c r="F40" i="3" s="1"/>
  <c r="E40" i="3"/>
  <c r="D41" i="3"/>
  <c r="F41" i="3" s="1"/>
  <c r="E41" i="3"/>
  <c r="D42" i="3"/>
  <c r="I42" i="3" s="1"/>
  <c r="J42" i="3" s="1"/>
  <c r="E42" i="3"/>
  <c r="D43" i="3"/>
  <c r="I43" i="3" s="1"/>
  <c r="J43" i="3" s="1"/>
  <c r="F43" i="3"/>
  <c r="G43" i="3" s="1"/>
  <c r="E43" i="3"/>
  <c r="D44" i="3"/>
  <c r="E44" i="3"/>
  <c r="D45" i="3"/>
  <c r="F45" i="3" s="1"/>
  <c r="E45" i="3"/>
  <c r="D46" i="3"/>
  <c r="I46" i="3" s="1"/>
  <c r="J46" i="3" s="1"/>
  <c r="E46" i="3"/>
  <c r="D47" i="3"/>
  <c r="F47" i="3" s="1"/>
  <c r="H47" i="3" s="1"/>
  <c r="E47" i="3"/>
  <c r="D48" i="3"/>
  <c r="I48" i="3" s="1"/>
  <c r="J48" i="3" s="1"/>
  <c r="E48" i="3"/>
  <c r="F48" i="3"/>
  <c r="H48" i="3" s="1"/>
  <c r="D49" i="3"/>
  <c r="F49" i="3" s="1"/>
  <c r="H49" i="3" s="1"/>
  <c r="E49" i="3"/>
  <c r="D50" i="3"/>
  <c r="F50" i="3" s="1"/>
  <c r="E50" i="3"/>
  <c r="D51" i="3"/>
  <c r="F51" i="3" s="1"/>
  <c r="G51" i="3" s="1"/>
  <c r="E51" i="3"/>
  <c r="D52" i="3"/>
  <c r="I52" i="3" s="1"/>
  <c r="J52" i="3" s="1"/>
  <c r="E52" i="3"/>
  <c r="D53" i="3"/>
  <c r="E53" i="3"/>
  <c r="I53" i="3"/>
  <c r="J53" i="3"/>
  <c r="F53" i="3"/>
  <c r="H53" i="3"/>
  <c r="D54" i="3"/>
  <c r="E54" i="3"/>
  <c r="D55" i="3"/>
  <c r="I55" i="3"/>
  <c r="E55" i="3"/>
  <c r="J55" i="3"/>
  <c r="D56" i="3"/>
  <c r="E56" i="3"/>
  <c r="F56" i="3"/>
  <c r="H56" i="3"/>
  <c r="G56" i="3"/>
  <c r="I56" i="3"/>
  <c r="J56" i="3"/>
  <c r="D57" i="3"/>
  <c r="F57" i="3"/>
  <c r="H57" i="3"/>
  <c r="E57" i="3"/>
  <c r="I57" i="3"/>
  <c r="J57" i="3"/>
  <c r="D58" i="3"/>
  <c r="I58" i="3"/>
  <c r="J58" i="3"/>
  <c r="E58" i="3"/>
  <c r="D59" i="3"/>
  <c r="E59" i="3"/>
  <c r="F59" i="3"/>
  <c r="H59" i="3"/>
  <c r="D60" i="3"/>
  <c r="E60" i="3"/>
  <c r="F60" i="3"/>
  <c r="D61" i="3"/>
  <c r="E61" i="3"/>
  <c r="F61" i="3"/>
  <c r="H61" i="3"/>
  <c r="I61" i="3"/>
  <c r="J61" i="3"/>
  <c r="D62" i="3"/>
  <c r="E62" i="3"/>
  <c r="I62" i="3"/>
  <c r="J62" i="3"/>
  <c r="F62" i="3"/>
  <c r="D63" i="3"/>
  <c r="F63" i="3"/>
  <c r="H63" i="3"/>
  <c r="E63" i="3"/>
  <c r="G63" i="3"/>
  <c r="I63" i="3"/>
  <c r="J63" i="3"/>
  <c r="D64" i="3"/>
  <c r="E64" i="3"/>
  <c r="F64" i="3"/>
  <c r="H64" i="3"/>
  <c r="G64" i="3"/>
  <c r="D65" i="3"/>
  <c r="E65" i="3"/>
  <c r="D66" i="3"/>
  <c r="F66" i="3"/>
  <c r="E66" i="3"/>
  <c r="G66" i="3"/>
  <c r="H66" i="3"/>
  <c r="I66" i="3"/>
  <c r="J66" i="3"/>
  <c r="D67" i="3"/>
  <c r="E67" i="3"/>
  <c r="D68" i="3"/>
  <c r="E68" i="3"/>
  <c r="F68" i="3"/>
  <c r="G68" i="3"/>
  <c r="H68" i="3"/>
  <c r="D69" i="3"/>
  <c r="E69" i="3"/>
  <c r="D70" i="3"/>
  <c r="G70" i="3"/>
  <c r="E70" i="3"/>
  <c r="F70" i="3"/>
  <c r="H70" i="3"/>
  <c r="I70" i="3"/>
  <c r="J70" i="3"/>
  <c r="D71" i="3"/>
  <c r="E71" i="3"/>
  <c r="F71" i="3"/>
  <c r="H71" i="3"/>
  <c r="D72" i="3"/>
  <c r="G72" i="3"/>
  <c r="E72" i="3"/>
  <c r="F72" i="3"/>
  <c r="H72" i="3"/>
  <c r="I72" i="3"/>
  <c r="J72" i="3"/>
  <c r="D73" i="3"/>
  <c r="E73" i="3"/>
  <c r="I73" i="3"/>
  <c r="J73" i="3"/>
  <c r="F73" i="3"/>
  <c r="H73" i="3"/>
  <c r="D74" i="3"/>
  <c r="F74" i="3"/>
  <c r="E74" i="3"/>
  <c r="H74" i="3"/>
  <c r="D75" i="3"/>
  <c r="E75" i="3"/>
  <c r="D76" i="3"/>
  <c r="E76" i="3"/>
  <c r="F76" i="3"/>
  <c r="G76" i="3"/>
  <c r="H76" i="3"/>
  <c r="I76" i="3"/>
  <c r="J76" i="3"/>
  <c r="D77" i="3"/>
  <c r="E77" i="3"/>
  <c r="D78" i="3"/>
  <c r="E78" i="3"/>
  <c r="D79" i="3"/>
  <c r="E79" i="3"/>
  <c r="F79" i="3"/>
  <c r="G79" i="3"/>
  <c r="H79" i="3"/>
  <c r="I79" i="3"/>
  <c r="J79" i="3"/>
  <c r="D80" i="3"/>
  <c r="E80" i="3"/>
  <c r="D81" i="3"/>
  <c r="G81" i="3"/>
  <c r="E81" i="3"/>
  <c r="F81" i="3"/>
  <c r="H81" i="3"/>
  <c r="I81" i="3"/>
  <c r="J81" i="3"/>
  <c r="D82" i="3"/>
  <c r="F82" i="3"/>
  <c r="H82" i="3"/>
  <c r="E82" i="3"/>
  <c r="I82" i="3"/>
  <c r="J82" i="3"/>
  <c r="G82" i="3"/>
  <c r="D83" i="3"/>
  <c r="F83" i="3"/>
  <c r="H83" i="3"/>
  <c r="E83" i="3"/>
  <c r="I83" i="3"/>
  <c r="G83" i="3"/>
  <c r="J83" i="3"/>
  <c r="D84" i="3"/>
  <c r="E84" i="3"/>
  <c r="I84" i="3"/>
  <c r="J84" i="3"/>
  <c r="F84" i="3"/>
  <c r="H84" i="3"/>
  <c r="G84" i="3"/>
  <c r="D85" i="3"/>
  <c r="F85" i="3"/>
  <c r="H85" i="3"/>
  <c r="E85" i="3"/>
  <c r="D86" i="3"/>
  <c r="G86" i="3"/>
  <c r="E86" i="3"/>
  <c r="F86" i="3"/>
  <c r="H86" i="3"/>
  <c r="D87" i="3"/>
  <c r="E87" i="3"/>
  <c r="D88" i="3"/>
  <c r="F88" i="3"/>
  <c r="E88" i="3"/>
  <c r="I88" i="3"/>
  <c r="J88" i="3"/>
  <c r="D89" i="3"/>
  <c r="F89" i="3"/>
  <c r="H89" i="3"/>
  <c r="E89" i="3"/>
  <c r="D90" i="3"/>
  <c r="F90" i="3"/>
  <c r="E90" i="3"/>
  <c r="G90" i="3"/>
  <c r="H90" i="3"/>
  <c r="D91" i="3"/>
  <c r="E91" i="3"/>
  <c r="D92" i="3"/>
  <c r="E92" i="3"/>
  <c r="F92" i="3"/>
  <c r="G92" i="3"/>
  <c r="H92" i="3"/>
  <c r="I92" i="3"/>
  <c r="J92" i="3"/>
  <c r="D93" i="3"/>
  <c r="E93" i="3"/>
  <c r="D94" i="3"/>
  <c r="F94" i="3"/>
  <c r="H94" i="3"/>
  <c r="E94" i="3"/>
  <c r="D95" i="3"/>
  <c r="E95" i="3"/>
  <c r="F95" i="3"/>
  <c r="H95" i="3"/>
  <c r="G95" i="3"/>
  <c r="I95" i="3"/>
  <c r="J95" i="3"/>
  <c r="D96" i="3"/>
  <c r="F96" i="3"/>
  <c r="E96" i="3"/>
  <c r="D97" i="3"/>
  <c r="F97" i="3"/>
  <c r="E97" i="3"/>
  <c r="I97" i="3"/>
  <c r="J97" i="3"/>
  <c r="D98" i="3"/>
  <c r="F98" i="3"/>
  <c r="H98" i="3"/>
  <c r="E98" i="3"/>
  <c r="G98" i="3"/>
  <c r="I98" i="3"/>
  <c r="J98" i="3"/>
  <c r="D99" i="3"/>
  <c r="E99" i="3"/>
  <c r="I99" i="3"/>
  <c r="J99" i="3"/>
  <c r="F99" i="3"/>
  <c r="G99" i="3"/>
  <c r="H99" i="3"/>
  <c r="D100" i="3"/>
  <c r="E100" i="3"/>
  <c r="F100" i="3"/>
  <c r="H100" i="3"/>
  <c r="G100" i="3"/>
  <c r="I100" i="3"/>
  <c r="J100" i="3"/>
  <c r="D101" i="3"/>
  <c r="E101" i="3"/>
  <c r="F101" i="3"/>
  <c r="H101" i="3"/>
  <c r="I101" i="3"/>
  <c r="J101" i="3"/>
  <c r="D102" i="3"/>
  <c r="F102" i="3"/>
  <c r="E102" i="3"/>
  <c r="D103" i="3"/>
  <c r="G103" i="3"/>
  <c r="E103" i="3"/>
  <c r="F103" i="3"/>
  <c r="H103" i="3"/>
  <c r="D104" i="3"/>
  <c r="F104" i="3"/>
  <c r="H104" i="3"/>
  <c r="E104" i="3"/>
  <c r="G104" i="3"/>
  <c r="D105" i="3"/>
  <c r="F105" i="3"/>
  <c r="E105" i="3"/>
  <c r="I105" i="3"/>
  <c r="J105" i="3"/>
  <c r="H105" i="3"/>
  <c r="D106" i="3"/>
  <c r="F106" i="3"/>
  <c r="E106" i="3"/>
  <c r="I106" i="3"/>
  <c r="J106" i="3"/>
  <c r="G106" i="3"/>
  <c r="H106" i="3"/>
  <c r="D107" i="3"/>
  <c r="F107" i="3"/>
  <c r="H107" i="3"/>
  <c r="E107" i="3"/>
  <c r="D108" i="3"/>
  <c r="E108" i="3"/>
  <c r="I108" i="3"/>
  <c r="J108" i="3"/>
  <c r="F108" i="3"/>
  <c r="H108" i="3"/>
  <c r="G108" i="3"/>
  <c r="D109" i="3"/>
  <c r="E109" i="3"/>
  <c r="D110" i="3"/>
  <c r="E110" i="3"/>
  <c r="F110" i="3"/>
  <c r="G110" i="3"/>
  <c r="H110" i="3"/>
  <c r="D111" i="3"/>
  <c r="I111" i="3"/>
  <c r="J111" i="3"/>
  <c r="E111" i="3"/>
  <c r="D112" i="3"/>
  <c r="E112" i="3"/>
  <c r="F112" i="3"/>
  <c r="H112" i="3"/>
  <c r="G112" i="3"/>
  <c r="I112" i="3"/>
  <c r="J112" i="3"/>
  <c r="D113" i="3"/>
  <c r="G113" i="3"/>
  <c r="E113" i="3"/>
  <c r="I113" i="3"/>
  <c r="J113" i="3"/>
  <c r="F113" i="3"/>
  <c r="H113" i="3"/>
  <c r="D114" i="3"/>
  <c r="F114" i="3"/>
  <c r="E114" i="3"/>
  <c r="H114" i="3"/>
  <c r="D115" i="3"/>
  <c r="F115" i="3"/>
  <c r="E115" i="3"/>
  <c r="D116" i="3"/>
  <c r="E116" i="3"/>
  <c r="F116" i="3"/>
  <c r="G116" i="3"/>
  <c r="H116" i="3"/>
  <c r="D117" i="3"/>
  <c r="F117" i="3"/>
  <c r="H117" i="3"/>
  <c r="E117" i="3"/>
  <c r="I117" i="3"/>
  <c r="J117" i="3"/>
  <c r="D118" i="3"/>
  <c r="E118" i="3"/>
  <c r="D119" i="3"/>
  <c r="E119" i="3"/>
  <c r="F119" i="3"/>
  <c r="G119" i="3"/>
  <c r="I119" i="3"/>
  <c r="J119" i="3"/>
  <c r="D120" i="3"/>
  <c r="E120" i="3"/>
  <c r="I120" i="3"/>
  <c r="J120" i="3"/>
  <c r="F120" i="3"/>
  <c r="H120" i="3"/>
  <c r="D121" i="3"/>
  <c r="E121" i="3"/>
  <c r="F121" i="3"/>
  <c r="I121" i="3"/>
  <c r="J121" i="3"/>
  <c r="D122" i="3"/>
  <c r="F122" i="3"/>
  <c r="E122" i="3"/>
  <c r="I122" i="3"/>
  <c r="G122" i="3"/>
  <c r="H122" i="3"/>
  <c r="J122" i="3"/>
  <c r="D123" i="3"/>
  <c r="F123" i="3"/>
  <c r="E123" i="3"/>
  <c r="D124" i="3"/>
  <c r="E124" i="3"/>
  <c r="I124" i="3"/>
  <c r="F124" i="3"/>
  <c r="J124" i="3"/>
  <c r="D125" i="3"/>
  <c r="E125" i="3"/>
  <c r="F125" i="3"/>
  <c r="H125" i="3"/>
  <c r="I125" i="3"/>
  <c r="J125" i="3"/>
  <c r="D126" i="3"/>
  <c r="F126" i="3"/>
  <c r="E126" i="3"/>
  <c r="I126" i="3"/>
  <c r="J126" i="3"/>
  <c r="D127" i="3"/>
  <c r="F127" i="3"/>
  <c r="H127" i="3"/>
  <c r="E127" i="3"/>
  <c r="G127" i="3"/>
  <c r="D128" i="3"/>
  <c r="E128" i="3"/>
  <c r="D129" i="3"/>
  <c r="E129" i="3"/>
  <c r="F129" i="3"/>
  <c r="H129" i="3"/>
  <c r="I129" i="3"/>
  <c r="J129" i="3"/>
  <c r="D130" i="3"/>
  <c r="F130" i="3"/>
  <c r="H130" i="3"/>
  <c r="E130" i="3"/>
  <c r="I130" i="3"/>
  <c r="J130" i="3"/>
  <c r="D131" i="3"/>
  <c r="E131" i="3"/>
  <c r="F131" i="3"/>
  <c r="G131" i="3"/>
  <c r="I131" i="3"/>
  <c r="J131" i="3"/>
  <c r="D132" i="3"/>
  <c r="G132" i="3"/>
  <c r="E132" i="3"/>
  <c r="F132" i="3"/>
  <c r="H132" i="3"/>
  <c r="D133" i="3"/>
  <c r="F133" i="3"/>
  <c r="E133" i="3"/>
  <c r="I133" i="3"/>
  <c r="J133" i="3"/>
  <c r="D134" i="3"/>
  <c r="E134" i="3"/>
  <c r="D135" i="3"/>
  <c r="F135" i="3"/>
  <c r="H135" i="3"/>
  <c r="E135" i="3"/>
  <c r="G135" i="3"/>
  <c r="D136" i="3"/>
  <c r="E136" i="3"/>
  <c r="I136" i="3"/>
  <c r="J136" i="3"/>
  <c r="F136" i="3"/>
  <c r="G136" i="3"/>
  <c r="H136" i="3"/>
  <c r="D137" i="3"/>
  <c r="F137" i="3"/>
  <c r="E137" i="3"/>
  <c r="D138" i="3"/>
  <c r="G138" i="3"/>
  <c r="E138" i="3"/>
  <c r="I138" i="3"/>
  <c r="J138" i="3"/>
  <c r="F138" i="3"/>
  <c r="H138" i="3"/>
  <c r="D139" i="3"/>
  <c r="E139" i="3"/>
  <c r="F139" i="3"/>
  <c r="G139" i="3"/>
  <c r="I139" i="3"/>
  <c r="J139" i="3"/>
  <c r="D140" i="3"/>
  <c r="G140" i="3"/>
  <c r="E140" i="3"/>
  <c r="F140" i="3"/>
  <c r="H140" i="3"/>
  <c r="D141" i="3"/>
  <c r="F141" i="3"/>
  <c r="E141" i="3"/>
  <c r="I141" i="3"/>
  <c r="J141" i="3"/>
  <c r="D142" i="3"/>
  <c r="E142" i="3"/>
  <c r="D143" i="3"/>
  <c r="F143" i="3"/>
  <c r="H143" i="3"/>
  <c r="E143" i="3"/>
  <c r="G143" i="3"/>
  <c r="D144" i="3"/>
  <c r="E144" i="3"/>
  <c r="I144" i="3"/>
  <c r="J144" i="3"/>
  <c r="F144" i="3"/>
  <c r="G144" i="3"/>
  <c r="H144" i="3"/>
  <c r="D145" i="3"/>
  <c r="F145" i="3"/>
  <c r="E145" i="3"/>
  <c r="D146" i="3"/>
  <c r="G146" i="3"/>
  <c r="E146" i="3"/>
  <c r="I146" i="3"/>
  <c r="J146" i="3"/>
  <c r="F146" i="3"/>
  <c r="H146" i="3"/>
  <c r="D147" i="3"/>
  <c r="E147" i="3"/>
  <c r="F147" i="3"/>
  <c r="G147" i="3"/>
  <c r="I147" i="3"/>
  <c r="J147" i="3"/>
  <c r="D148" i="3"/>
  <c r="G148" i="3"/>
  <c r="E148" i="3"/>
  <c r="F148" i="3"/>
  <c r="H148" i="3"/>
  <c r="D149" i="3"/>
  <c r="F149" i="3"/>
  <c r="E149" i="3"/>
  <c r="I149" i="3"/>
  <c r="J149" i="3"/>
  <c r="D150" i="3"/>
  <c r="E150" i="3"/>
  <c r="D151" i="3"/>
  <c r="F151" i="3"/>
  <c r="H151" i="3"/>
  <c r="E151" i="3"/>
  <c r="G151" i="3"/>
  <c r="D152" i="3"/>
  <c r="E152" i="3"/>
  <c r="I152" i="3"/>
  <c r="J152" i="3"/>
  <c r="F152" i="3"/>
  <c r="G152" i="3"/>
  <c r="H152" i="3"/>
  <c r="D153" i="3"/>
  <c r="F153" i="3"/>
  <c r="H153" i="3"/>
  <c r="E153" i="3"/>
  <c r="D154" i="3"/>
  <c r="G154" i="3"/>
  <c r="E154" i="3"/>
  <c r="I154" i="3"/>
  <c r="J154" i="3"/>
  <c r="F154" i="3"/>
  <c r="H154" i="3"/>
  <c r="D155" i="3"/>
  <c r="E155" i="3"/>
  <c r="F155" i="3"/>
  <c r="G155" i="3"/>
  <c r="I155" i="3"/>
  <c r="J155" i="3"/>
  <c r="D156" i="3"/>
  <c r="E156" i="3"/>
  <c r="F156" i="3"/>
  <c r="H156" i="3"/>
  <c r="D157" i="3"/>
  <c r="F157" i="3"/>
  <c r="H157" i="3"/>
  <c r="E157" i="3"/>
  <c r="I157" i="3"/>
  <c r="J157" i="3"/>
  <c r="D158" i="3"/>
  <c r="E158" i="3"/>
  <c r="D159" i="3"/>
  <c r="F159" i="3"/>
  <c r="H159" i="3"/>
  <c r="E159" i="3"/>
  <c r="D160" i="3"/>
  <c r="E160" i="3"/>
  <c r="I160" i="3"/>
  <c r="J160" i="3"/>
  <c r="F160" i="3"/>
  <c r="G160" i="3"/>
  <c r="H160" i="3"/>
  <c r="D161" i="3"/>
  <c r="F161" i="3"/>
  <c r="H161" i="3"/>
  <c r="E161" i="3"/>
  <c r="D162" i="3"/>
  <c r="G162" i="3"/>
  <c r="E162" i="3"/>
  <c r="I162" i="3"/>
  <c r="J162" i="3"/>
  <c r="F162" i="3"/>
  <c r="H162" i="3"/>
  <c r="D163" i="3"/>
  <c r="E163" i="3"/>
  <c r="F163" i="3"/>
  <c r="G163" i="3"/>
  <c r="I163" i="3"/>
  <c r="J163" i="3"/>
  <c r="D164" i="3"/>
  <c r="E164" i="3"/>
  <c r="F164" i="3"/>
  <c r="H164" i="3"/>
  <c r="D165" i="3"/>
  <c r="F165" i="3"/>
  <c r="H165" i="3"/>
  <c r="E165" i="3"/>
  <c r="I165" i="3"/>
  <c r="J165" i="3"/>
  <c r="D166" i="3"/>
  <c r="E166" i="3"/>
  <c r="D167" i="3"/>
  <c r="E167" i="3"/>
  <c r="F167" i="3"/>
  <c r="H167" i="3"/>
  <c r="G167" i="3"/>
  <c r="D168" i="3"/>
  <c r="E168" i="3"/>
  <c r="I168" i="3"/>
  <c r="J168" i="3"/>
  <c r="F168" i="3"/>
  <c r="G168" i="3"/>
  <c r="H168" i="3"/>
  <c r="D169" i="3"/>
  <c r="F169" i="3"/>
  <c r="H169" i="3"/>
  <c r="E169" i="3"/>
  <c r="D170" i="3"/>
  <c r="G170" i="3"/>
  <c r="E170" i="3"/>
  <c r="I170" i="3"/>
  <c r="J170" i="3"/>
  <c r="F170" i="3"/>
  <c r="H170" i="3"/>
  <c r="D171" i="3"/>
  <c r="E171" i="3"/>
  <c r="F171" i="3"/>
  <c r="G171" i="3"/>
  <c r="I171" i="3"/>
  <c r="J171" i="3"/>
  <c r="D172" i="3"/>
  <c r="E172" i="3"/>
  <c r="F172" i="3"/>
  <c r="H172" i="3"/>
  <c r="D173" i="3"/>
  <c r="F173" i="3"/>
  <c r="H173" i="3"/>
  <c r="E173" i="3"/>
  <c r="I173" i="3"/>
  <c r="J173" i="3"/>
  <c r="D174" i="3"/>
  <c r="E174" i="3"/>
  <c r="D175" i="3"/>
  <c r="E175" i="3"/>
  <c r="F175" i="3"/>
  <c r="H175" i="3"/>
  <c r="G175" i="3"/>
  <c r="D176" i="3"/>
  <c r="E176" i="3"/>
  <c r="I176" i="3"/>
  <c r="F176" i="3"/>
  <c r="G176" i="3"/>
  <c r="H176" i="3"/>
  <c r="J176" i="3"/>
  <c r="F174" i="3"/>
  <c r="H174" i="3"/>
  <c r="G174" i="3"/>
  <c r="I174" i="3"/>
  <c r="J174" i="3"/>
  <c r="I169" i="3"/>
  <c r="J169" i="3"/>
  <c r="I89" i="3"/>
  <c r="J89" i="3"/>
  <c r="I69" i="3"/>
  <c r="J69" i="3"/>
  <c r="F166" i="3"/>
  <c r="H166" i="3"/>
  <c r="I166" i="3"/>
  <c r="J166" i="3"/>
  <c r="I161" i="3"/>
  <c r="J161" i="3"/>
  <c r="F158" i="3"/>
  <c r="H158" i="3"/>
  <c r="I158" i="3"/>
  <c r="J158" i="3"/>
  <c r="I153" i="3"/>
  <c r="J153" i="3"/>
  <c r="I118" i="3"/>
  <c r="J118" i="3"/>
  <c r="I102" i="3"/>
  <c r="J102" i="3"/>
  <c r="G97" i="3"/>
  <c r="H97" i="3"/>
  <c r="I94" i="3"/>
  <c r="J94" i="3"/>
  <c r="G172" i="3"/>
  <c r="I172" i="3"/>
  <c r="J172" i="3"/>
  <c r="G149" i="3"/>
  <c r="H149" i="3"/>
  <c r="I145" i="3"/>
  <c r="J145" i="3"/>
  <c r="G141" i="3"/>
  <c r="H141" i="3"/>
  <c r="I137" i="3"/>
  <c r="J137" i="3"/>
  <c r="G133" i="3"/>
  <c r="H133" i="3"/>
  <c r="G102" i="3"/>
  <c r="H102" i="3"/>
  <c r="I91" i="3"/>
  <c r="J91" i="3"/>
  <c r="G77" i="3"/>
  <c r="F77" i="3"/>
  <c r="H77" i="3"/>
  <c r="I77" i="3"/>
  <c r="J77" i="3"/>
  <c r="F75" i="3"/>
  <c r="H75" i="3"/>
  <c r="G75" i="3"/>
  <c r="I175" i="3"/>
  <c r="J175" i="3"/>
  <c r="G173" i="3"/>
  <c r="G164" i="3"/>
  <c r="I164" i="3"/>
  <c r="J164" i="3"/>
  <c r="G159" i="3"/>
  <c r="G156" i="3"/>
  <c r="I156" i="3"/>
  <c r="J156" i="3"/>
  <c r="G145" i="3"/>
  <c r="H145" i="3"/>
  <c r="G137" i="3"/>
  <c r="H137" i="3"/>
  <c r="G123" i="3"/>
  <c r="H123" i="3"/>
  <c r="H96" i="3"/>
  <c r="G96" i="3"/>
  <c r="I93" i="3"/>
  <c r="J93" i="3"/>
  <c r="H62" i="3"/>
  <c r="G62" i="3"/>
  <c r="I47" i="3"/>
  <c r="J47" i="3" s="1"/>
  <c r="I167" i="3"/>
  <c r="J167" i="3"/>
  <c r="G165" i="3"/>
  <c r="I159" i="3"/>
  <c r="J159" i="3"/>
  <c r="G157" i="3"/>
  <c r="G121" i="3"/>
  <c r="H121" i="3"/>
  <c r="H88" i="3"/>
  <c r="G88" i="3"/>
  <c r="G130" i="3"/>
  <c r="G126" i="3"/>
  <c r="H126" i="3"/>
  <c r="I115" i="3"/>
  <c r="J115" i="3"/>
  <c r="I68" i="3"/>
  <c r="J68" i="3"/>
  <c r="F38" i="3"/>
  <c r="H38" i="3" s="1"/>
  <c r="G124" i="3"/>
  <c r="H124" i="3"/>
  <c r="G115" i="3"/>
  <c r="H115" i="3"/>
  <c r="I90" i="3"/>
  <c r="J90" i="3"/>
  <c r="F150" i="3"/>
  <c r="H150" i="3"/>
  <c r="G150" i="3"/>
  <c r="I150" i="3"/>
  <c r="J150" i="3"/>
  <c r="F142" i="3"/>
  <c r="H142" i="3"/>
  <c r="I142" i="3"/>
  <c r="J142" i="3"/>
  <c r="F134" i="3"/>
  <c r="H134" i="3"/>
  <c r="I134" i="3"/>
  <c r="J134" i="3"/>
  <c r="F128" i="3"/>
  <c r="H128" i="3"/>
  <c r="G128" i="3"/>
  <c r="I128" i="3"/>
  <c r="J128" i="3"/>
  <c r="F109" i="3"/>
  <c r="H109" i="3"/>
  <c r="I109" i="3"/>
  <c r="J109" i="3"/>
  <c r="I78" i="3"/>
  <c r="J78" i="3"/>
  <c r="I116" i="3"/>
  <c r="J116" i="3"/>
  <c r="G114" i="3"/>
  <c r="F111" i="3"/>
  <c r="I110" i="3"/>
  <c r="J110" i="3"/>
  <c r="I103" i="3"/>
  <c r="J103" i="3"/>
  <c r="G93" i="3"/>
  <c r="I87" i="3"/>
  <c r="J87" i="3"/>
  <c r="I86" i="3"/>
  <c r="J86" i="3"/>
  <c r="F78" i="3"/>
  <c r="H78" i="3"/>
  <c r="F69" i="3"/>
  <c r="H69" i="3"/>
  <c r="J12" i="3"/>
  <c r="I80" i="3"/>
  <c r="J80" i="3"/>
  <c r="I64" i="3"/>
  <c r="J64" i="3"/>
  <c r="H171" i="3"/>
  <c r="H163" i="3"/>
  <c r="H155" i="3"/>
  <c r="H147" i="3"/>
  <c r="H139" i="3"/>
  <c r="H131" i="3"/>
  <c r="H119" i="3"/>
  <c r="G117" i="3"/>
  <c r="F80" i="3"/>
  <c r="H80" i="3"/>
  <c r="G73" i="3"/>
  <c r="G57" i="3"/>
  <c r="I37" i="3"/>
  <c r="J37" i="3" s="1"/>
  <c r="G120" i="3"/>
  <c r="I107" i="3"/>
  <c r="J107" i="3"/>
  <c r="G71" i="3"/>
  <c r="I71" i="3"/>
  <c r="J71" i="3"/>
  <c r="F65" i="3"/>
  <c r="H65" i="3"/>
  <c r="I65" i="3"/>
  <c r="J65" i="3"/>
  <c r="I54" i="3"/>
  <c r="J54" i="3"/>
  <c r="F37" i="3"/>
  <c r="H37" i="3" s="1"/>
  <c r="F24" i="3"/>
  <c r="H24" i="3"/>
  <c r="I24" i="3"/>
  <c r="J24" i="3" s="1"/>
  <c r="I148" i="3"/>
  <c r="J148" i="3"/>
  <c r="I140" i="3"/>
  <c r="J140" i="3"/>
  <c r="I132" i="3"/>
  <c r="J132" i="3"/>
  <c r="G107" i="3"/>
  <c r="F58" i="3"/>
  <c r="H58" i="3"/>
  <c r="G58" i="3"/>
  <c r="F54" i="3"/>
  <c r="H54" i="3"/>
  <c r="G54" i="3"/>
  <c r="G169" i="3"/>
  <c r="G161" i="3"/>
  <c r="G153" i="3"/>
  <c r="I151" i="3"/>
  <c r="J151" i="3"/>
  <c r="I143" i="3"/>
  <c r="J143" i="3"/>
  <c r="I135" i="3"/>
  <c r="J135" i="3"/>
  <c r="G129" i="3"/>
  <c r="I127" i="3"/>
  <c r="J127" i="3"/>
  <c r="I67" i="3"/>
  <c r="J67" i="3"/>
  <c r="G60" i="3"/>
  <c r="H60" i="3"/>
  <c r="G125" i="3"/>
  <c r="F118" i="3"/>
  <c r="H118" i="3"/>
  <c r="I114" i="3"/>
  <c r="J114" i="3"/>
  <c r="G105" i="3"/>
  <c r="I104" i="3"/>
  <c r="J104" i="3"/>
  <c r="I96" i="3"/>
  <c r="J96" i="3"/>
  <c r="G94" i="3"/>
  <c r="F93" i="3"/>
  <c r="H93" i="3"/>
  <c r="F91" i="3"/>
  <c r="H91" i="3"/>
  <c r="G89" i="3"/>
  <c r="F87" i="3"/>
  <c r="H87" i="3"/>
  <c r="F67" i="3"/>
  <c r="H67" i="3"/>
  <c r="G67" i="3"/>
  <c r="I60" i="3"/>
  <c r="J60" i="3"/>
  <c r="G59" i="3"/>
  <c r="I38" i="3"/>
  <c r="J38" i="3" s="1"/>
  <c r="I85" i="3"/>
  <c r="J85" i="3"/>
  <c r="I75" i="3"/>
  <c r="J75" i="3"/>
  <c r="I74" i="3"/>
  <c r="J74" i="3"/>
  <c r="G53" i="3"/>
  <c r="I123" i="3"/>
  <c r="J123" i="3"/>
  <c r="G101" i="3"/>
  <c r="G74" i="3"/>
  <c r="I59" i="3"/>
  <c r="J59" i="3"/>
  <c r="F55" i="3"/>
  <c r="F13" i="3"/>
  <c r="E12" i="3"/>
  <c r="G61" i="3"/>
  <c r="D13" i="3"/>
  <c r="G85" i="3"/>
  <c r="I51" i="3"/>
  <c r="J51" i="3" s="1"/>
  <c r="G263" i="1"/>
  <c r="K263" i="1" s="1"/>
  <c r="G69" i="3"/>
  <c r="G78" i="3"/>
  <c r="G65" i="3"/>
  <c r="H111" i="3"/>
  <c r="G111" i="3"/>
  <c r="G134" i="3"/>
  <c r="G166" i="3"/>
  <c r="G24" i="3"/>
  <c r="G87" i="3"/>
  <c r="H55" i="3"/>
  <c r="G55" i="3"/>
  <c r="G80" i="3"/>
  <c r="G91" i="3"/>
  <c r="G118" i="3"/>
  <c r="G109" i="3"/>
  <c r="G142" i="3"/>
  <c r="G158" i="3"/>
  <c r="H22" i="3"/>
  <c r="I41" i="3"/>
  <c r="J41" i="3" s="1"/>
  <c r="D18" i="3"/>
  <c r="E18" i="3"/>
  <c r="P289" i="1" l="1"/>
  <c r="R289" i="1" s="1"/>
  <c r="I32" i="3"/>
  <c r="J32" i="3" s="1"/>
  <c r="F42" i="3"/>
  <c r="G38" i="3"/>
  <c r="I35" i="3"/>
  <c r="J35" i="3" s="1"/>
  <c r="G34" i="3"/>
  <c r="F25" i="3"/>
  <c r="H25" i="3" s="1"/>
  <c r="I28" i="3"/>
  <c r="J28" i="3" s="1"/>
  <c r="I45" i="3"/>
  <c r="J45" i="3" s="1"/>
  <c r="I40" i="3"/>
  <c r="J40" i="3" s="1"/>
  <c r="I34" i="3"/>
  <c r="J34" i="3" s="1"/>
  <c r="F29" i="3"/>
  <c r="G29" i="3" s="1"/>
  <c r="H32" i="3"/>
  <c r="G32" i="3"/>
  <c r="I27" i="3"/>
  <c r="J27" i="3" s="1"/>
  <c r="G48" i="3"/>
  <c r="F26" i="3"/>
  <c r="H26" i="3" s="1"/>
  <c r="F33" i="3"/>
  <c r="H33" i="3" s="1"/>
  <c r="F46" i="3"/>
  <c r="G288" i="1"/>
  <c r="K288" i="1" s="1"/>
  <c r="P288" i="1"/>
  <c r="H50" i="3"/>
  <c r="G50" i="3"/>
  <c r="H27" i="3"/>
  <c r="G27" i="3"/>
  <c r="H35" i="3"/>
  <c r="G35" i="3"/>
  <c r="F21" i="3"/>
  <c r="H21" i="3" s="1"/>
  <c r="F52" i="3"/>
  <c r="H52" i="3" s="1"/>
  <c r="F31" i="3"/>
  <c r="H31" i="3" s="1"/>
  <c r="H43" i="3"/>
  <c r="G37" i="3"/>
  <c r="I50" i="3"/>
  <c r="J50" i="3" s="1"/>
  <c r="G47" i="3"/>
  <c r="G49" i="3"/>
  <c r="G30" i="3"/>
  <c r="I22" i="3"/>
  <c r="J22" i="3" s="1"/>
  <c r="E51" i="2"/>
  <c r="F67" i="1"/>
  <c r="G67" i="1" s="1"/>
  <c r="I67" i="1" s="1"/>
  <c r="E260" i="1"/>
  <c r="E30" i="1"/>
  <c r="E24" i="1"/>
  <c r="E174" i="2"/>
  <c r="F228" i="1"/>
  <c r="G228" i="1" s="1"/>
  <c r="K228" i="1" s="1"/>
  <c r="E270" i="1"/>
  <c r="F270" i="1" s="1"/>
  <c r="G270" i="1" s="1"/>
  <c r="K270" i="1" s="1"/>
  <c r="E173" i="1"/>
  <c r="E61" i="1"/>
  <c r="F61" i="1" s="1"/>
  <c r="G61" i="1" s="1"/>
  <c r="I61" i="1" s="1"/>
  <c r="E35" i="1"/>
  <c r="F35" i="1" s="1"/>
  <c r="E39" i="2"/>
  <c r="F55" i="1"/>
  <c r="G55" i="1" s="1"/>
  <c r="I55" i="1" s="1"/>
  <c r="E194" i="2"/>
  <c r="G276" i="1"/>
  <c r="K276" i="1" s="1"/>
  <c r="E239" i="1"/>
  <c r="E192" i="1"/>
  <c r="E128" i="2"/>
  <c r="F158" i="1"/>
  <c r="G158" i="1" s="1"/>
  <c r="I158" i="1" s="1"/>
  <c r="E286" i="1"/>
  <c r="F286" i="1" s="1"/>
  <c r="E25" i="1"/>
  <c r="E28" i="1"/>
  <c r="H35" i="1"/>
  <c r="E38" i="1"/>
  <c r="E46" i="1"/>
  <c r="E48" i="1"/>
  <c r="E62" i="1"/>
  <c r="E46" i="2" s="1"/>
  <c r="E78" i="1"/>
  <c r="E83" i="1"/>
  <c r="E88" i="1"/>
  <c r="E93" i="1"/>
  <c r="F93" i="1" s="1"/>
  <c r="G93" i="1" s="1"/>
  <c r="I93" i="1" s="1"/>
  <c r="E106" i="1"/>
  <c r="E111" i="1"/>
  <c r="E115" i="1"/>
  <c r="E117" i="1"/>
  <c r="E119" i="1"/>
  <c r="E128" i="1"/>
  <c r="E176" i="1"/>
  <c r="E187" i="1"/>
  <c r="E190" i="1"/>
  <c r="E195" i="1"/>
  <c r="E198" i="1"/>
  <c r="F198" i="1" s="1"/>
  <c r="G198" i="1" s="1"/>
  <c r="K198" i="1" s="1"/>
  <c r="E204" i="1"/>
  <c r="E217" i="1"/>
  <c r="F217" i="1" s="1"/>
  <c r="G217" i="1" s="1"/>
  <c r="K217" i="1" s="1"/>
  <c r="E243" i="1"/>
  <c r="E245" i="1"/>
  <c r="E251" i="1"/>
  <c r="E257" i="1"/>
  <c r="F257" i="1" s="1"/>
  <c r="G257" i="1" s="1"/>
  <c r="K257" i="1" s="1"/>
  <c r="E261" i="1"/>
  <c r="F261" i="1" s="1"/>
  <c r="G261" i="1" s="1"/>
  <c r="K261" i="1" s="1"/>
  <c r="E266" i="1"/>
  <c r="F266" i="1" s="1"/>
  <c r="G266" i="1" s="1"/>
  <c r="K266" i="1" s="1"/>
  <c r="E268" i="1"/>
  <c r="F268" i="1" s="1"/>
  <c r="G268" i="1" s="1"/>
  <c r="K268" i="1" s="1"/>
  <c r="E271" i="1"/>
  <c r="F271" i="1" s="1"/>
  <c r="G271" i="1" s="1"/>
  <c r="K271" i="1" s="1"/>
  <c r="E274" i="1"/>
  <c r="F274" i="1" s="1"/>
  <c r="G274" i="1" s="1"/>
  <c r="K274" i="1" s="1"/>
  <c r="E277" i="1"/>
  <c r="F277" i="1" s="1"/>
  <c r="G277" i="1" s="1"/>
  <c r="K277" i="1" s="1"/>
  <c r="E280" i="1"/>
  <c r="F280" i="1" s="1"/>
  <c r="G280" i="1" s="1"/>
  <c r="K280" i="1" s="1"/>
  <c r="G284" i="1"/>
  <c r="K284" i="1" s="1"/>
  <c r="G35" i="1"/>
  <c r="E41" i="1"/>
  <c r="E30" i="2" s="1"/>
  <c r="E44" i="1"/>
  <c r="F44" i="1" s="1"/>
  <c r="G44" i="1" s="1"/>
  <c r="I44" i="1" s="1"/>
  <c r="E56" i="1"/>
  <c r="E60" i="1"/>
  <c r="E65" i="1"/>
  <c r="E68" i="1"/>
  <c r="F68" i="1" s="1"/>
  <c r="G68" i="1" s="1"/>
  <c r="E73" i="1"/>
  <c r="E86" i="1"/>
  <c r="E91" i="1"/>
  <c r="F91" i="1" s="1"/>
  <c r="G91" i="1" s="1"/>
  <c r="I91" i="1" s="1"/>
  <c r="E96" i="1"/>
  <c r="E101" i="1"/>
  <c r="F101" i="1" s="1"/>
  <c r="G101" i="1" s="1"/>
  <c r="I101" i="1" s="1"/>
  <c r="E109" i="1"/>
  <c r="E83" i="2" s="1"/>
  <c r="E126" i="1"/>
  <c r="F126" i="1" s="1"/>
  <c r="G126" i="1" s="1"/>
  <c r="I126" i="1" s="1"/>
  <c r="E140" i="1"/>
  <c r="F140" i="1" s="1"/>
  <c r="G140" i="1" s="1"/>
  <c r="I140" i="1" s="1"/>
  <c r="E143" i="1"/>
  <c r="E145" i="1"/>
  <c r="E151" i="1"/>
  <c r="E159" i="1"/>
  <c r="E129" i="2" s="1"/>
  <c r="E162" i="1"/>
  <c r="E168" i="1"/>
  <c r="F168" i="1" s="1"/>
  <c r="G168" i="1" s="1"/>
  <c r="I168" i="1" s="1"/>
  <c r="E171" i="1"/>
  <c r="E174" i="1"/>
  <c r="E193" i="1"/>
  <c r="F193" i="1" s="1"/>
  <c r="G193" i="1" s="1"/>
  <c r="K193" i="1" s="1"/>
  <c r="E202" i="1"/>
  <c r="E227" i="1"/>
  <c r="E229" i="1"/>
  <c r="F229" i="1" s="1"/>
  <c r="G229" i="1" s="1"/>
  <c r="K229" i="1" s="1"/>
  <c r="E231" i="1"/>
  <c r="E234" i="1"/>
  <c r="E237" i="1"/>
  <c r="E240" i="1"/>
  <c r="E254" i="1"/>
  <c r="E264" i="1"/>
  <c r="F264" i="1" s="1"/>
  <c r="G264" i="1" s="1"/>
  <c r="K264" i="1" s="1"/>
  <c r="E287" i="1"/>
  <c r="F287" i="1" s="1"/>
  <c r="G287" i="1" s="1"/>
  <c r="K287" i="1" s="1"/>
  <c r="E22" i="1"/>
  <c r="F22" i="1" s="1"/>
  <c r="H22" i="1" s="1"/>
  <c r="E31" i="1"/>
  <c r="E34" i="1"/>
  <c r="E49" i="1"/>
  <c r="E51" i="1"/>
  <c r="F51" i="1" s="1"/>
  <c r="G51" i="1" s="1"/>
  <c r="I51" i="1" s="1"/>
  <c r="E63" i="1"/>
  <c r="E71" i="1"/>
  <c r="E76" i="1"/>
  <c r="E81" i="1"/>
  <c r="E94" i="1"/>
  <c r="E99" i="1"/>
  <c r="E104" i="1"/>
  <c r="E112" i="1"/>
  <c r="E123" i="1"/>
  <c r="E132" i="1"/>
  <c r="E134" i="1"/>
  <c r="E137" i="1"/>
  <c r="F137" i="1" s="1"/>
  <c r="G137" i="1" s="1"/>
  <c r="I137" i="1" s="1"/>
  <c r="E148" i="1"/>
  <c r="E154" i="1"/>
  <c r="E177" i="1"/>
  <c r="F177" i="1" s="1"/>
  <c r="G177" i="1" s="1"/>
  <c r="J177" i="1" s="1"/>
  <c r="E180" i="1"/>
  <c r="E185" i="1"/>
  <c r="E199" i="1"/>
  <c r="E161" i="2" s="1"/>
  <c r="E207" i="1"/>
  <c r="E218" i="1"/>
  <c r="F218" i="1" s="1"/>
  <c r="G218" i="1" s="1"/>
  <c r="I218" i="1" s="1"/>
  <c r="E221" i="1"/>
  <c r="F221" i="1" s="1"/>
  <c r="G221" i="1" s="1"/>
  <c r="K221" i="1" s="1"/>
  <c r="E224" i="1"/>
  <c r="F224" i="1" s="1"/>
  <c r="G224" i="1" s="1"/>
  <c r="K224" i="1" s="1"/>
  <c r="E258" i="1"/>
  <c r="E272" i="1"/>
  <c r="F272" i="1" s="1"/>
  <c r="P272" i="1" s="1"/>
  <c r="E278" i="1"/>
  <c r="F278" i="1" s="1"/>
  <c r="G278" i="1" s="1"/>
  <c r="K278" i="1" s="1"/>
  <c r="E281" i="1"/>
  <c r="F281" i="1" s="1"/>
  <c r="E275" i="1"/>
  <c r="F275" i="1" s="1"/>
  <c r="G275" i="1" s="1"/>
  <c r="K275" i="1" s="1"/>
  <c r="E26" i="1"/>
  <c r="E16" i="2" s="1"/>
  <c r="E29" i="1"/>
  <c r="E36" i="1"/>
  <c r="E39" i="1"/>
  <c r="E42" i="1"/>
  <c r="E45" i="1"/>
  <c r="E47" i="1"/>
  <c r="E57" i="1"/>
  <c r="E79" i="1"/>
  <c r="E84" i="1"/>
  <c r="E89" i="1"/>
  <c r="E102" i="1"/>
  <c r="E107" i="1"/>
  <c r="E110" i="1"/>
  <c r="E120" i="1"/>
  <c r="E127" i="1"/>
  <c r="E129" i="1"/>
  <c r="E157" i="1"/>
  <c r="E160" i="1"/>
  <c r="F160" i="1" s="1"/>
  <c r="G160" i="1" s="1"/>
  <c r="I160" i="1" s="1"/>
  <c r="E165" i="1"/>
  <c r="E169" i="1"/>
  <c r="E172" i="1"/>
  <c r="E188" i="1"/>
  <c r="E191" i="1"/>
  <c r="E194" i="1"/>
  <c r="E196" i="1"/>
  <c r="E238" i="1"/>
  <c r="E246" i="1"/>
  <c r="E249" i="1"/>
  <c r="F249" i="1" s="1"/>
  <c r="G249" i="1" s="1"/>
  <c r="K249" i="1" s="1"/>
  <c r="E252" i="1"/>
  <c r="E262" i="1"/>
  <c r="E265" i="1"/>
  <c r="E267" i="1"/>
  <c r="F267" i="1" s="1"/>
  <c r="E269" i="1"/>
  <c r="F269" i="1" s="1"/>
  <c r="G269" i="1" s="1"/>
  <c r="K269" i="1" s="1"/>
  <c r="E282" i="1"/>
  <c r="F282" i="1" s="1"/>
  <c r="G282" i="1" s="1"/>
  <c r="K282" i="1" s="1"/>
  <c r="E285" i="1"/>
  <c r="F285" i="1" s="1"/>
  <c r="G285" i="1" s="1"/>
  <c r="K285" i="1" s="1"/>
  <c r="E23" i="1"/>
  <c r="E32" i="1"/>
  <c r="E52" i="1"/>
  <c r="E54" i="1"/>
  <c r="E66" i="1"/>
  <c r="E74" i="1"/>
  <c r="E87" i="1"/>
  <c r="E92" i="1"/>
  <c r="E97" i="1"/>
  <c r="E113" i="1"/>
  <c r="E124" i="1"/>
  <c r="E138" i="1"/>
  <c r="E141" i="1"/>
  <c r="E144" i="1"/>
  <c r="E149" i="1"/>
  <c r="E152" i="1"/>
  <c r="E155" i="1"/>
  <c r="E178" i="1"/>
  <c r="E181" i="1"/>
  <c r="E183" i="1"/>
  <c r="E200" i="1"/>
  <c r="F200" i="1" s="1"/>
  <c r="G200" i="1" s="1"/>
  <c r="K200" i="1" s="1"/>
  <c r="E205" i="1"/>
  <c r="E208" i="1"/>
  <c r="E210" i="1"/>
  <c r="E212" i="1"/>
  <c r="E214" i="1"/>
  <c r="E216" i="1"/>
  <c r="E222" i="1"/>
  <c r="E235" i="1"/>
  <c r="E241" i="1"/>
  <c r="E255" i="1"/>
  <c r="F255" i="1" s="1"/>
  <c r="G255" i="1" s="1"/>
  <c r="K255" i="1" s="1"/>
  <c r="E259" i="1"/>
  <c r="E198" i="2" s="1"/>
  <c r="E276" i="1"/>
  <c r="F276" i="1" s="1"/>
  <c r="G281" i="1"/>
  <c r="K281" i="1" s="1"/>
  <c r="E27" i="1"/>
  <c r="E37" i="1"/>
  <c r="E50" i="1"/>
  <c r="E58" i="1"/>
  <c r="E69" i="1"/>
  <c r="F69" i="1" s="1"/>
  <c r="G69" i="1" s="1"/>
  <c r="I69" i="1" s="1"/>
  <c r="E82" i="1"/>
  <c r="E95" i="1"/>
  <c r="E100" i="1"/>
  <c r="E105" i="1"/>
  <c r="F105" i="1" s="1"/>
  <c r="G105" i="1" s="1"/>
  <c r="I105" i="1" s="1"/>
  <c r="E116" i="1"/>
  <c r="E118" i="1"/>
  <c r="E121" i="1"/>
  <c r="E95" i="2" s="1"/>
  <c r="E130" i="1"/>
  <c r="E133" i="1"/>
  <c r="E135" i="1"/>
  <c r="E109" i="2" s="1"/>
  <c r="E146" i="1"/>
  <c r="E161" i="1"/>
  <c r="E163" i="1"/>
  <c r="F163" i="1" s="1"/>
  <c r="G163" i="1" s="1"/>
  <c r="I163" i="1" s="1"/>
  <c r="E166" i="1"/>
  <c r="E186" i="1"/>
  <c r="E189" i="1"/>
  <c r="E197" i="1"/>
  <c r="E203" i="1"/>
  <c r="F203" i="1" s="1"/>
  <c r="G203" i="1" s="1"/>
  <c r="K203" i="1" s="1"/>
  <c r="E219" i="1"/>
  <c r="E225" i="1"/>
  <c r="E232" i="1"/>
  <c r="F232" i="1" s="1"/>
  <c r="G232" i="1" s="1"/>
  <c r="K232" i="1" s="1"/>
  <c r="E244" i="1"/>
  <c r="E247" i="1"/>
  <c r="F247" i="1" s="1"/>
  <c r="G247" i="1" s="1"/>
  <c r="J247" i="1" s="1"/>
  <c r="E250" i="1"/>
  <c r="G267" i="1"/>
  <c r="K267" i="1" s="1"/>
  <c r="E279" i="1"/>
  <c r="F279" i="1" s="1"/>
  <c r="G279" i="1" s="1"/>
  <c r="K279" i="1" s="1"/>
  <c r="E21" i="1"/>
  <c r="E33" i="1"/>
  <c r="E40" i="1"/>
  <c r="E43" i="1"/>
  <c r="E53" i="1"/>
  <c r="E59" i="1"/>
  <c r="F59" i="1" s="1"/>
  <c r="G59" i="1" s="1"/>
  <c r="I59" i="1" s="1"/>
  <c r="E64" i="1"/>
  <c r="E70" i="1"/>
  <c r="F70" i="1" s="1"/>
  <c r="G70" i="1" s="1"/>
  <c r="I70" i="1" s="1"/>
  <c r="E75" i="1"/>
  <c r="E80" i="1"/>
  <c r="E85" i="1"/>
  <c r="E98" i="1"/>
  <c r="E122" i="1"/>
  <c r="E125" i="1"/>
  <c r="E99" i="2" s="1"/>
  <c r="E131" i="1"/>
  <c r="E136" i="1"/>
  <c r="E139" i="1"/>
  <c r="E142" i="1"/>
  <c r="F142" i="1" s="1"/>
  <c r="G142" i="1" s="1"/>
  <c r="E147" i="1"/>
  <c r="F147" i="1" s="1"/>
  <c r="G147" i="1" s="1"/>
  <c r="I147" i="1" s="1"/>
  <c r="E150" i="1"/>
  <c r="F150" i="1" s="1"/>
  <c r="G150" i="1" s="1"/>
  <c r="I150" i="1" s="1"/>
  <c r="E153" i="1"/>
  <c r="E164" i="1"/>
  <c r="E167" i="1"/>
  <c r="E179" i="1"/>
  <c r="E182" i="1"/>
  <c r="E184" i="1"/>
  <c r="E206" i="1"/>
  <c r="E209" i="1"/>
  <c r="E211" i="1"/>
  <c r="E213" i="1"/>
  <c r="E215" i="1"/>
  <c r="E220" i="1"/>
  <c r="E223" i="1"/>
  <c r="E226" i="1"/>
  <c r="E233" i="1"/>
  <c r="E248" i="1"/>
  <c r="E283" i="1"/>
  <c r="F283" i="1" s="1"/>
  <c r="G283" i="1" s="1"/>
  <c r="K283" i="1" s="1"/>
  <c r="E256" i="1"/>
  <c r="F256" i="1" s="1"/>
  <c r="G256" i="1" s="1"/>
  <c r="K256" i="1" s="1"/>
  <c r="E72" i="1"/>
  <c r="F72" i="1" s="1"/>
  <c r="G72" i="1" s="1"/>
  <c r="I72" i="1" s="1"/>
  <c r="E175" i="2"/>
  <c r="F230" i="1"/>
  <c r="G230" i="1" s="1"/>
  <c r="K230" i="1" s="1"/>
  <c r="E140" i="2"/>
  <c r="F170" i="1"/>
  <c r="G170" i="1" s="1"/>
  <c r="J170" i="1" s="1"/>
  <c r="E78" i="2"/>
  <c r="F103" i="1"/>
  <c r="G103" i="1" s="1"/>
  <c r="I103" i="1" s="1"/>
  <c r="E242" i="1"/>
  <c r="E236" i="1"/>
  <c r="E201" i="1"/>
  <c r="E175" i="1"/>
  <c r="F175" i="1" s="1"/>
  <c r="G175" i="1" s="1"/>
  <c r="I175" i="1" s="1"/>
  <c r="E156" i="1"/>
  <c r="F156" i="1" s="1"/>
  <c r="G156" i="1" s="1"/>
  <c r="J156" i="1" s="1"/>
  <c r="E114" i="1"/>
  <c r="E108" i="1"/>
  <c r="E90" i="1"/>
  <c r="E77" i="1"/>
  <c r="F77" i="1" s="1"/>
  <c r="G77" i="1" s="1"/>
  <c r="I77" i="1" s="1"/>
  <c r="E133" i="2"/>
  <c r="E71" i="2"/>
  <c r="E43" i="2"/>
  <c r="F259" i="1"/>
  <c r="G259" i="1" s="1"/>
  <c r="K259" i="1" s="1"/>
  <c r="F159" i="1"/>
  <c r="G159" i="1" s="1"/>
  <c r="I159" i="1" s="1"/>
  <c r="F125" i="1"/>
  <c r="G125" i="1" s="1"/>
  <c r="I125" i="1" s="1"/>
  <c r="F109" i="1"/>
  <c r="G109" i="1" s="1"/>
  <c r="I109" i="1" s="1"/>
  <c r="E118" i="2"/>
  <c r="E12" i="2"/>
  <c r="E35" i="2"/>
  <c r="F62" i="1"/>
  <c r="G62" i="1" s="1"/>
  <c r="I62" i="1" s="1"/>
  <c r="F85" i="1"/>
  <c r="G85" i="1" s="1"/>
  <c r="I85" i="1" s="1"/>
  <c r="E65" i="2"/>
  <c r="E111" i="2"/>
  <c r="E45" i="2"/>
  <c r="F135" i="1"/>
  <c r="E192" i="2"/>
  <c r="E168" i="2"/>
  <c r="F26" i="1"/>
  <c r="E162" i="2"/>
  <c r="E146" i="2"/>
  <c r="E138" i="2"/>
  <c r="E130" i="2"/>
  <c r="E100" i="2"/>
  <c r="E52" i="2"/>
  <c r="F121" i="1"/>
  <c r="G121" i="1" s="1"/>
  <c r="I121" i="1" s="1"/>
  <c r="P287" i="1"/>
  <c r="G286" i="1"/>
  <c r="K286" i="1" s="1"/>
  <c r="P286" i="1"/>
  <c r="P158" i="1"/>
  <c r="R158" i="1" s="1"/>
  <c r="P147" i="1"/>
  <c r="R147" i="1" s="1"/>
  <c r="P61" i="1"/>
  <c r="R61" i="1" s="1"/>
  <c r="P198" i="1"/>
  <c r="R198" i="1" s="1"/>
  <c r="P271" i="1"/>
  <c r="R271" i="1" s="1"/>
  <c r="P275" i="1"/>
  <c r="R275" i="1" s="1"/>
  <c r="P277" i="1"/>
  <c r="R277" i="1" s="1"/>
  <c r="P35" i="1"/>
  <c r="R35" i="1" s="1"/>
  <c r="P253" i="1"/>
  <c r="R253" i="1" s="1"/>
  <c r="P249" i="1"/>
  <c r="R249" i="1" s="1"/>
  <c r="P170" i="1"/>
  <c r="R170" i="1" s="1"/>
  <c r="P55" i="1"/>
  <c r="R55" i="1" s="1"/>
  <c r="P228" i="1"/>
  <c r="R228" i="1" s="1"/>
  <c r="P284" i="1"/>
  <c r="R284" i="1" s="1"/>
  <c r="P280" i="1"/>
  <c r="R280" i="1" s="1"/>
  <c r="P276" i="1"/>
  <c r="P150" i="1"/>
  <c r="R150" i="1" s="1"/>
  <c r="P200" i="1"/>
  <c r="R200" i="1" s="1"/>
  <c r="P255" i="1"/>
  <c r="R255" i="1" s="1"/>
  <c r="P156" i="1"/>
  <c r="P257" i="1"/>
  <c r="R257" i="1" s="1"/>
  <c r="P281" i="1"/>
  <c r="P279" i="1"/>
  <c r="R279" i="1" s="1"/>
  <c r="P274" i="1"/>
  <c r="P163" i="1"/>
  <c r="R163" i="1" s="1"/>
  <c r="P140" i="1"/>
  <c r="R140" i="1" s="1"/>
  <c r="P101" i="1"/>
  <c r="R101" i="1" s="1"/>
  <c r="P218" i="1"/>
  <c r="R218" i="1" s="1"/>
  <c r="P285" i="1"/>
  <c r="R285" i="1" s="1"/>
  <c r="P261" i="1"/>
  <c r="R261" i="1" s="1"/>
  <c r="P266" i="1"/>
  <c r="R266" i="1" s="1"/>
  <c r="P263" i="1"/>
  <c r="R263" i="1" s="1"/>
  <c r="P137" i="1"/>
  <c r="R137" i="1" s="1"/>
  <c r="P69" i="1"/>
  <c r="R69" i="1" s="1"/>
  <c r="P70" i="1"/>
  <c r="R70" i="1" s="1"/>
  <c r="P72" i="1"/>
  <c r="R72" i="1" s="1"/>
  <c r="P283" i="1"/>
  <c r="R283" i="1" s="1"/>
  <c r="P247" i="1"/>
  <c r="R247" i="1" s="1"/>
  <c r="P278" i="1"/>
  <c r="R278" i="1" s="1"/>
  <c r="P267" i="1"/>
  <c r="R267" i="1" s="1"/>
  <c r="P177" i="1"/>
  <c r="R177" i="1" s="1"/>
  <c r="P126" i="1"/>
  <c r="R126" i="1" s="1"/>
  <c r="P273" i="1"/>
  <c r="R273" i="1" s="1"/>
  <c r="P264" i="1"/>
  <c r="R264" i="1" s="1"/>
  <c r="P159" i="1"/>
  <c r="R159" i="1" s="1"/>
  <c r="P229" i="1"/>
  <c r="P67" i="1"/>
  <c r="R67" i="1" s="1"/>
  <c r="P221" i="1"/>
  <c r="R221" i="1" s="1"/>
  <c r="P270" i="1"/>
  <c r="R270" i="1" s="1"/>
  <c r="P217" i="1"/>
  <c r="R217" i="1" s="1"/>
  <c r="P256" i="1"/>
  <c r="R256" i="1" s="1"/>
  <c r="P103" i="1"/>
  <c r="P160" i="1"/>
  <c r="R160" i="1" s="1"/>
  <c r="P59" i="1"/>
  <c r="R59" i="1" s="1"/>
  <c r="P68" i="1"/>
  <c r="P93" i="1"/>
  <c r="R93" i="1" s="1"/>
  <c r="P51" i="1"/>
  <c r="R51" i="1" s="1"/>
  <c r="P168" i="1"/>
  <c r="R168" i="1" s="1"/>
  <c r="G28" i="3"/>
  <c r="H28" i="3"/>
  <c r="G45" i="3"/>
  <c r="H45" i="3"/>
  <c r="F44" i="3"/>
  <c r="H44" i="3" s="1"/>
  <c r="I44" i="3"/>
  <c r="J44" i="3" s="1"/>
  <c r="G41" i="3"/>
  <c r="H41" i="3"/>
  <c r="H51" i="3"/>
  <c r="G31" i="3"/>
  <c r="H40" i="3"/>
  <c r="G40" i="3"/>
  <c r="H42" i="3"/>
  <c r="G42" i="3"/>
  <c r="I39" i="3"/>
  <c r="J39" i="3" s="1"/>
  <c r="F39" i="3"/>
  <c r="H39" i="3" s="1"/>
  <c r="I49" i="3"/>
  <c r="J49" i="3" s="1"/>
  <c r="I36" i="3"/>
  <c r="F23" i="3"/>
  <c r="G23" i="3" s="1"/>
  <c r="G36" i="3"/>
  <c r="F18" i="3"/>
  <c r="I18" i="3"/>
  <c r="G25" i="3" l="1"/>
  <c r="G39" i="3"/>
  <c r="G44" i="3"/>
  <c r="G26" i="3"/>
  <c r="H29" i="3"/>
  <c r="G33" i="3"/>
  <c r="G46" i="3"/>
  <c r="H46" i="3"/>
  <c r="R288" i="1"/>
  <c r="G21" i="3"/>
  <c r="G52" i="3"/>
  <c r="H68" i="1"/>
  <c r="I68" i="1"/>
  <c r="F98" i="1"/>
  <c r="E76" i="2"/>
  <c r="E28" i="2"/>
  <c r="F39" i="1"/>
  <c r="R103" i="1"/>
  <c r="P268" i="1"/>
  <c r="R268" i="1" s="1"/>
  <c r="R287" i="1"/>
  <c r="P259" i="1"/>
  <c r="R259" i="1" s="1"/>
  <c r="P203" i="1"/>
  <c r="R203" i="1" s="1"/>
  <c r="P193" i="1"/>
  <c r="R193" i="1" s="1"/>
  <c r="P105" i="1"/>
  <c r="R105" i="1" s="1"/>
  <c r="P282" i="1"/>
  <c r="R282" i="1" s="1"/>
  <c r="F199" i="1"/>
  <c r="E196" i="2"/>
  <c r="F226" i="1"/>
  <c r="E172" i="2"/>
  <c r="F184" i="1"/>
  <c r="E153" i="2"/>
  <c r="F219" i="1"/>
  <c r="E169" i="2"/>
  <c r="E131" i="2"/>
  <c r="F161" i="1"/>
  <c r="E90" i="2"/>
  <c r="F116" i="1"/>
  <c r="E17" i="2"/>
  <c r="F27" i="1"/>
  <c r="F222" i="1"/>
  <c r="E170" i="2"/>
  <c r="F183" i="1"/>
  <c r="E152" i="2"/>
  <c r="F138" i="1"/>
  <c r="E112" i="2"/>
  <c r="F246" i="1"/>
  <c r="E191" i="2"/>
  <c r="E157" i="2"/>
  <c r="F191" i="1"/>
  <c r="E127" i="2"/>
  <c r="F157" i="1"/>
  <c r="E68" i="2"/>
  <c r="F89" i="1"/>
  <c r="F42" i="1"/>
  <c r="E31" i="2"/>
  <c r="F134" i="1"/>
  <c r="E108" i="2"/>
  <c r="E72" i="2"/>
  <c r="F94" i="1"/>
  <c r="F31" i="1"/>
  <c r="E21" i="2"/>
  <c r="F234" i="1"/>
  <c r="E179" i="2"/>
  <c r="F202" i="1"/>
  <c r="E217" i="2"/>
  <c r="E74" i="2"/>
  <c r="F96" i="1"/>
  <c r="F128" i="1"/>
  <c r="E102" i="2"/>
  <c r="F88" i="1"/>
  <c r="E67" i="2"/>
  <c r="F239" i="1"/>
  <c r="E184" i="2"/>
  <c r="F58" i="1"/>
  <c r="E42" i="2"/>
  <c r="F216" i="1"/>
  <c r="E225" i="2"/>
  <c r="E150" i="2"/>
  <c r="F181" i="1"/>
  <c r="E98" i="2"/>
  <c r="F124" i="1"/>
  <c r="E106" i="2"/>
  <c r="F132" i="1"/>
  <c r="E61" i="2"/>
  <c r="F81" i="1"/>
  <c r="F151" i="1"/>
  <c r="E122" i="2"/>
  <c r="F204" i="1"/>
  <c r="E218" i="2"/>
  <c r="F119" i="1"/>
  <c r="E93" i="2"/>
  <c r="E18" i="2"/>
  <c r="F28" i="1"/>
  <c r="P175" i="1"/>
  <c r="R175" i="1" s="1"/>
  <c r="R274" i="1"/>
  <c r="F220" i="1"/>
  <c r="E226" i="2"/>
  <c r="F179" i="1"/>
  <c r="E148" i="2"/>
  <c r="F139" i="1"/>
  <c r="E113" i="2"/>
  <c r="F197" i="1"/>
  <c r="E215" i="2"/>
  <c r="E34" i="2"/>
  <c r="F50" i="1"/>
  <c r="E167" i="2"/>
  <c r="F214" i="1"/>
  <c r="E147" i="2"/>
  <c r="F178" i="1"/>
  <c r="F113" i="1"/>
  <c r="E87" i="2"/>
  <c r="F129" i="1"/>
  <c r="E103" i="2"/>
  <c r="E59" i="2"/>
  <c r="F79" i="1"/>
  <c r="F36" i="1"/>
  <c r="E25" i="2"/>
  <c r="F258" i="1"/>
  <c r="E197" i="2"/>
  <c r="F185" i="1"/>
  <c r="E154" i="2"/>
  <c r="F123" i="1"/>
  <c r="E97" i="2"/>
  <c r="E57" i="2"/>
  <c r="F76" i="1"/>
  <c r="F145" i="1"/>
  <c r="E116" i="2"/>
  <c r="F86" i="1"/>
  <c r="E66" i="2"/>
  <c r="F117" i="1"/>
  <c r="E91" i="2"/>
  <c r="E58" i="2"/>
  <c r="F78" i="1"/>
  <c r="E15" i="2"/>
  <c r="F25" i="1"/>
  <c r="J142" i="1"/>
  <c r="I142" i="1"/>
  <c r="F146" i="1"/>
  <c r="E117" i="2"/>
  <c r="F66" i="1"/>
  <c r="E50" i="2"/>
  <c r="F231" i="1"/>
  <c r="E176" i="2"/>
  <c r="E63" i="2"/>
  <c r="F83" i="1"/>
  <c r="R156" i="1"/>
  <c r="F201" i="1"/>
  <c r="E216" i="2"/>
  <c r="R229" i="1"/>
  <c r="P230" i="1"/>
  <c r="R230" i="1" s="1"/>
  <c r="P224" i="1"/>
  <c r="R224" i="1" s="1"/>
  <c r="P85" i="1"/>
  <c r="R85" i="1" s="1"/>
  <c r="P232" i="1"/>
  <c r="R232" i="1" s="1"/>
  <c r="P269" i="1"/>
  <c r="R269" i="1" s="1"/>
  <c r="G22" i="1"/>
  <c r="F41" i="1"/>
  <c r="E33" i="2"/>
  <c r="E181" i="2"/>
  <c r="F236" i="1"/>
  <c r="F215" i="1"/>
  <c r="E224" i="2"/>
  <c r="F167" i="1"/>
  <c r="E137" i="2"/>
  <c r="F136" i="1"/>
  <c r="E110" i="2"/>
  <c r="F43" i="1"/>
  <c r="E32" i="2"/>
  <c r="F250" i="1"/>
  <c r="E193" i="2"/>
  <c r="E107" i="2"/>
  <c r="F133" i="1"/>
  <c r="E207" i="2"/>
  <c r="E208" i="2"/>
  <c r="F100" i="1"/>
  <c r="G272" i="1"/>
  <c r="K272" i="1" s="1"/>
  <c r="F212" i="1"/>
  <c r="E166" i="2"/>
  <c r="F155" i="1"/>
  <c r="E126" i="2"/>
  <c r="E75" i="2"/>
  <c r="F97" i="1"/>
  <c r="F54" i="1"/>
  <c r="E38" i="2"/>
  <c r="F172" i="1"/>
  <c r="E141" i="2"/>
  <c r="F127" i="1"/>
  <c r="E101" i="2"/>
  <c r="F29" i="1"/>
  <c r="E19" i="2"/>
  <c r="F180" i="1"/>
  <c r="E149" i="2"/>
  <c r="E53" i="2"/>
  <c r="F71" i="1"/>
  <c r="F227" i="1"/>
  <c r="E173" i="2"/>
  <c r="E143" i="2"/>
  <c r="E144" i="2"/>
  <c r="F174" i="1"/>
  <c r="F143" i="1"/>
  <c r="E114" i="2"/>
  <c r="E54" i="2"/>
  <c r="F73" i="1"/>
  <c r="E159" i="2"/>
  <c r="F195" i="1"/>
  <c r="F115" i="1"/>
  <c r="E89" i="2"/>
  <c r="F24" i="1"/>
  <c r="E14" i="2"/>
  <c r="F182" i="1"/>
  <c r="E151" i="2"/>
  <c r="E183" i="2"/>
  <c r="F238" i="1"/>
  <c r="R68" i="1"/>
  <c r="R281" i="1"/>
  <c r="P22" i="1"/>
  <c r="P121" i="1"/>
  <c r="R121" i="1" s="1"/>
  <c r="F242" i="1"/>
  <c r="E187" i="2"/>
  <c r="F213" i="1"/>
  <c r="E223" i="2"/>
  <c r="F164" i="1"/>
  <c r="E134" i="2"/>
  <c r="F80" i="1"/>
  <c r="E60" i="2"/>
  <c r="F40" i="1"/>
  <c r="E29" i="2"/>
  <c r="F189" i="1"/>
  <c r="E213" i="2"/>
  <c r="F130" i="1"/>
  <c r="E104" i="2"/>
  <c r="E73" i="2"/>
  <c r="F95" i="1"/>
  <c r="F210" i="1"/>
  <c r="E222" i="2"/>
  <c r="E123" i="2"/>
  <c r="F152" i="1"/>
  <c r="E70" i="2"/>
  <c r="F92" i="1"/>
  <c r="E36" i="2"/>
  <c r="F52" i="1"/>
  <c r="F265" i="1"/>
  <c r="E235" i="2"/>
  <c r="F169" i="1"/>
  <c r="E139" i="2"/>
  <c r="F120" i="1"/>
  <c r="E94" i="2"/>
  <c r="E47" i="2"/>
  <c r="F63" i="1"/>
  <c r="F254" i="1"/>
  <c r="E233" i="2"/>
  <c r="F171" i="1"/>
  <c r="E210" i="2"/>
  <c r="F190" i="1"/>
  <c r="P190" i="1" s="1"/>
  <c r="E156" i="2"/>
  <c r="F111" i="1"/>
  <c r="E85" i="2"/>
  <c r="F48" i="1"/>
  <c r="E203" i="2"/>
  <c r="E20" i="2"/>
  <c r="F30" i="1"/>
  <c r="F188" i="1"/>
  <c r="E155" i="2"/>
  <c r="P142" i="1"/>
  <c r="R142" i="1" s="1"/>
  <c r="P44" i="1"/>
  <c r="R44" i="1" s="1"/>
  <c r="P77" i="1"/>
  <c r="R77" i="1" s="1"/>
  <c r="P109" i="1"/>
  <c r="R109" i="1" s="1"/>
  <c r="P62" i="1"/>
  <c r="R62" i="1" s="1"/>
  <c r="P91" i="1"/>
  <c r="R91" i="1" s="1"/>
  <c r="E177" i="2"/>
  <c r="F90" i="1"/>
  <c r="E69" i="2"/>
  <c r="F211" i="1"/>
  <c r="E165" i="2"/>
  <c r="F131" i="1"/>
  <c r="E105" i="2"/>
  <c r="E56" i="2"/>
  <c r="F75" i="1"/>
  <c r="F33" i="1"/>
  <c r="E23" i="2"/>
  <c r="E189" i="2"/>
  <c r="F244" i="1"/>
  <c r="E211" i="2"/>
  <c r="F186" i="1"/>
  <c r="F208" i="1"/>
  <c r="E221" i="2"/>
  <c r="E121" i="2"/>
  <c r="F149" i="1"/>
  <c r="E120" i="2"/>
  <c r="F87" i="1"/>
  <c r="E205" i="2"/>
  <c r="F262" i="1"/>
  <c r="E234" i="2"/>
  <c r="F165" i="1"/>
  <c r="E135" i="2"/>
  <c r="F110" i="1"/>
  <c r="E84" i="2"/>
  <c r="F57" i="1"/>
  <c r="E41" i="2"/>
  <c r="F154" i="1"/>
  <c r="E125" i="2"/>
  <c r="F112" i="1"/>
  <c r="E86" i="2"/>
  <c r="F65" i="1"/>
  <c r="E49" i="2"/>
  <c r="F251" i="1"/>
  <c r="E231" i="2"/>
  <c r="F187" i="1"/>
  <c r="E212" i="2"/>
  <c r="F106" i="1"/>
  <c r="E80" i="2"/>
  <c r="F46" i="1"/>
  <c r="E201" i="2"/>
  <c r="F260" i="1"/>
  <c r="E199" i="2"/>
  <c r="F223" i="1"/>
  <c r="E228" i="2"/>
  <c r="R276" i="1"/>
  <c r="F108" i="1"/>
  <c r="E82" i="2"/>
  <c r="F248" i="1"/>
  <c r="E230" i="2"/>
  <c r="F209" i="1"/>
  <c r="E164" i="2"/>
  <c r="F153" i="1"/>
  <c r="E124" i="2"/>
  <c r="F21" i="1"/>
  <c r="D16" i="1" s="1"/>
  <c r="D19" i="1" s="1"/>
  <c r="E11" i="2"/>
  <c r="F166" i="1"/>
  <c r="E136" i="2"/>
  <c r="F82" i="1"/>
  <c r="E62" i="2"/>
  <c r="F241" i="1"/>
  <c r="E186" i="2"/>
  <c r="F205" i="1"/>
  <c r="E219" i="2"/>
  <c r="E115" i="2"/>
  <c r="F144" i="1"/>
  <c r="E22" i="2"/>
  <c r="F32" i="1"/>
  <c r="F252" i="1"/>
  <c r="E232" i="2"/>
  <c r="F196" i="1"/>
  <c r="E160" i="2"/>
  <c r="E81" i="2"/>
  <c r="F107" i="1"/>
  <c r="F47" i="1"/>
  <c r="E202" i="2"/>
  <c r="F148" i="1"/>
  <c r="E119" i="2"/>
  <c r="E79" i="2"/>
  <c r="F104" i="1"/>
  <c r="F49" i="1"/>
  <c r="E204" i="2"/>
  <c r="E185" i="2"/>
  <c r="F240" i="1"/>
  <c r="F60" i="1"/>
  <c r="E44" i="2"/>
  <c r="F245" i="1"/>
  <c r="E190" i="2"/>
  <c r="F176" i="1"/>
  <c r="E145" i="2"/>
  <c r="F38" i="1"/>
  <c r="E27" i="2"/>
  <c r="F53" i="1"/>
  <c r="E37" i="2"/>
  <c r="F84" i="1"/>
  <c r="E64" i="2"/>
  <c r="E195" i="2"/>
  <c r="F114" i="1"/>
  <c r="E88" i="2"/>
  <c r="F233" i="1"/>
  <c r="E178" i="2"/>
  <c r="F206" i="1"/>
  <c r="E163" i="2"/>
  <c r="F122" i="1"/>
  <c r="E96" i="2"/>
  <c r="F64" i="1"/>
  <c r="E48" i="2"/>
  <c r="F225" i="1"/>
  <c r="E171" i="2"/>
  <c r="F118" i="1"/>
  <c r="E92" i="2"/>
  <c r="E26" i="2"/>
  <c r="F37" i="1"/>
  <c r="F235" i="1"/>
  <c r="E180" i="2"/>
  <c r="E209" i="2"/>
  <c r="F141" i="1"/>
  <c r="F74" i="1"/>
  <c r="E55" i="2"/>
  <c r="F23" i="1"/>
  <c r="E13" i="2"/>
  <c r="F194" i="1"/>
  <c r="E158" i="2"/>
  <c r="E77" i="2"/>
  <c r="F102" i="1"/>
  <c r="F45" i="1"/>
  <c r="E200" i="2"/>
  <c r="F207" i="1"/>
  <c r="E220" i="2"/>
  <c r="E206" i="2"/>
  <c r="F99" i="1"/>
  <c r="E24" i="2"/>
  <c r="F34" i="1"/>
  <c r="F237" i="1"/>
  <c r="E182" i="2"/>
  <c r="F162" i="1"/>
  <c r="E132" i="2"/>
  <c r="F56" i="1"/>
  <c r="E40" i="2"/>
  <c r="F243" i="1"/>
  <c r="E188" i="2"/>
  <c r="F192" i="1"/>
  <c r="E214" i="2"/>
  <c r="E142" i="2"/>
  <c r="F173" i="1"/>
  <c r="P125" i="1"/>
  <c r="R125" i="1" s="1"/>
  <c r="R286" i="1"/>
  <c r="G26" i="1"/>
  <c r="H26" i="1"/>
  <c r="P26" i="1"/>
  <c r="P135" i="1"/>
  <c r="G135" i="1"/>
  <c r="I135" i="1" s="1"/>
  <c r="M6" i="3"/>
  <c r="H23" i="3"/>
  <c r="J36" i="3"/>
  <c r="J18" i="3"/>
  <c r="H18" i="3"/>
  <c r="G18" i="3"/>
  <c r="M3" i="3" l="1"/>
  <c r="M5" i="3"/>
  <c r="O166" i="3" s="1"/>
  <c r="G56" i="1"/>
  <c r="I56" i="1" s="1"/>
  <c r="P56" i="1"/>
  <c r="R56" i="1" s="1"/>
  <c r="G260" i="1"/>
  <c r="K260" i="1" s="1"/>
  <c r="P260" i="1"/>
  <c r="G99" i="1"/>
  <c r="I99" i="1" s="1"/>
  <c r="P99" i="1"/>
  <c r="R99" i="1" s="1"/>
  <c r="G38" i="1"/>
  <c r="I38" i="1" s="1"/>
  <c r="P38" i="1"/>
  <c r="G47" i="1"/>
  <c r="I47" i="1" s="1"/>
  <c r="P47" i="1"/>
  <c r="R47" i="1" s="1"/>
  <c r="G82" i="1"/>
  <c r="I82" i="1" s="1"/>
  <c r="P82" i="1"/>
  <c r="G209" i="1"/>
  <c r="J209" i="1" s="1"/>
  <c r="P209" i="1"/>
  <c r="R209" i="1" s="1"/>
  <c r="G131" i="1"/>
  <c r="I131" i="1" s="1"/>
  <c r="P131" i="1"/>
  <c r="G73" i="1"/>
  <c r="I73" i="1" s="1"/>
  <c r="P73" i="1"/>
  <c r="R73" i="1" s="1"/>
  <c r="P227" i="1"/>
  <c r="R227" i="1" s="1"/>
  <c r="G227" i="1"/>
  <c r="P127" i="1"/>
  <c r="G127" i="1"/>
  <c r="I127" i="1" s="1"/>
  <c r="G155" i="1"/>
  <c r="J155" i="1" s="1"/>
  <c r="P155" i="1"/>
  <c r="G167" i="1"/>
  <c r="I167" i="1" s="1"/>
  <c r="P167" i="1"/>
  <c r="R167" i="1" s="1"/>
  <c r="G146" i="1"/>
  <c r="I146" i="1" s="1"/>
  <c r="P146" i="1"/>
  <c r="P117" i="1"/>
  <c r="G117" i="1"/>
  <c r="I117" i="1" s="1"/>
  <c r="G123" i="1"/>
  <c r="I123" i="1" s="1"/>
  <c r="P123" i="1"/>
  <c r="G179" i="1"/>
  <c r="J179" i="1" s="1"/>
  <c r="P179" i="1"/>
  <c r="R179" i="1" s="1"/>
  <c r="G119" i="1"/>
  <c r="I119" i="1" s="1"/>
  <c r="P119" i="1"/>
  <c r="G58" i="1"/>
  <c r="I58" i="1" s="1"/>
  <c r="P58" i="1"/>
  <c r="R58" i="1" s="1"/>
  <c r="G183" i="1"/>
  <c r="I183" i="1" s="1"/>
  <c r="P183" i="1"/>
  <c r="G199" i="1"/>
  <c r="J199" i="1" s="1"/>
  <c r="P199" i="1"/>
  <c r="R199" i="1" s="1"/>
  <c r="G124" i="1"/>
  <c r="I124" i="1" s="1"/>
  <c r="P124" i="1"/>
  <c r="G173" i="1"/>
  <c r="J173" i="1" s="1"/>
  <c r="P173" i="1"/>
  <c r="R173" i="1" s="1"/>
  <c r="G37" i="1"/>
  <c r="I37" i="1" s="1"/>
  <c r="P37" i="1"/>
  <c r="G176" i="1"/>
  <c r="I176" i="1" s="1"/>
  <c r="P176" i="1"/>
  <c r="R176" i="1" s="1"/>
  <c r="G49" i="1"/>
  <c r="I49" i="1" s="1"/>
  <c r="P49" i="1"/>
  <c r="G166" i="1"/>
  <c r="I166" i="1" s="1"/>
  <c r="P166" i="1"/>
  <c r="R166" i="1" s="1"/>
  <c r="G248" i="1"/>
  <c r="K248" i="1" s="1"/>
  <c r="P248" i="1"/>
  <c r="G211" i="1"/>
  <c r="J211" i="1" s="1"/>
  <c r="P211" i="1"/>
  <c r="R211" i="1" s="1"/>
  <c r="P63" i="1"/>
  <c r="R63" i="1" s="1"/>
  <c r="G63" i="1"/>
  <c r="I63" i="1" s="1"/>
  <c r="G52" i="1"/>
  <c r="I52" i="1" s="1"/>
  <c r="P52" i="1"/>
  <c r="R52" i="1" s="1"/>
  <c r="G95" i="1"/>
  <c r="I95" i="1" s="1"/>
  <c r="P95" i="1"/>
  <c r="G172" i="1"/>
  <c r="J172" i="1" s="1"/>
  <c r="P172" i="1"/>
  <c r="R172" i="1" s="1"/>
  <c r="G212" i="1"/>
  <c r="K212" i="1" s="1"/>
  <c r="P212" i="1"/>
  <c r="G250" i="1"/>
  <c r="K250" i="1" s="1"/>
  <c r="P250" i="1"/>
  <c r="R250" i="1" s="1"/>
  <c r="P215" i="1"/>
  <c r="R215" i="1" s="1"/>
  <c r="G215" i="1"/>
  <c r="K215" i="1" s="1"/>
  <c r="G86" i="1"/>
  <c r="I86" i="1" s="1"/>
  <c r="P86" i="1"/>
  <c r="R86" i="1" s="1"/>
  <c r="G185" i="1"/>
  <c r="J185" i="1" s="1"/>
  <c r="P185" i="1"/>
  <c r="G129" i="1"/>
  <c r="I129" i="1" s="1"/>
  <c r="P129" i="1"/>
  <c r="R129" i="1" s="1"/>
  <c r="G220" i="1"/>
  <c r="K220" i="1" s="1"/>
  <c r="P220" i="1"/>
  <c r="P204" i="1"/>
  <c r="G204" i="1"/>
  <c r="K204" i="1" s="1"/>
  <c r="G239" i="1"/>
  <c r="K239" i="1" s="1"/>
  <c r="P239" i="1"/>
  <c r="G202" i="1"/>
  <c r="I202" i="1" s="1"/>
  <c r="P202" i="1"/>
  <c r="R202" i="1" s="1"/>
  <c r="G134" i="1"/>
  <c r="I134" i="1" s="1"/>
  <c r="P134" i="1"/>
  <c r="G222" i="1"/>
  <c r="K222" i="1" s="1"/>
  <c r="P222" i="1"/>
  <c r="R222" i="1" s="1"/>
  <c r="G219" i="1"/>
  <c r="K219" i="1" s="1"/>
  <c r="P219" i="1"/>
  <c r="G235" i="1"/>
  <c r="I235" i="1" s="1"/>
  <c r="P235" i="1"/>
  <c r="R235" i="1" s="1"/>
  <c r="G114" i="1"/>
  <c r="I114" i="1" s="1"/>
  <c r="P114" i="1"/>
  <c r="G87" i="1"/>
  <c r="I87" i="1" s="1"/>
  <c r="P87" i="1"/>
  <c r="R87" i="1" s="1"/>
  <c r="G210" i="1"/>
  <c r="K210" i="1" s="1"/>
  <c r="P210" i="1"/>
  <c r="G50" i="1"/>
  <c r="I50" i="1" s="1"/>
  <c r="P50" i="1"/>
  <c r="R50" i="1" s="1"/>
  <c r="G39" i="1"/>
  <c r="I39" i="1" s="1"/>
  <c r="P39" i="1"/>
  <c r="G162" i="1"/>
  <c r="I162" i="1" s="1"/>
  <c r="P162" i="1"/>
  <c r="R162" i="1" s="1"/>
  <c r="G207" i="1"/>
  <c r="K207" i="1" s="1"/>
  <c r="P207" i="1"/>
  <c r="G23" i="1"/>
  <c r="H23" i="1"/>
  <c r="P23" i="1"/>
  <c r="G122" i="1"/>
  <c r="I122" i="1" s="1"/>
  <c r="P122" i="1"/>
  <c r="R122" i="1" s="1"/>
  <c r="G104" i="1"/>
  <c r="I104" i="1" s="1"/>
  <c r="P104" i="1"/>
  <c r="G46" i="1"/>
  <c r="I46" i="1" s="1"/>
  <c r="P46" i="1"/>
  <c r="R46" i="1" s="1"/>
  <c r="G65" i="1"/>
  <c r="I65" i="1" s="1"/>
  <c r="P65" i="1"/>
  <c r="P110" i="1"/>
  <c r="G110" i="1"/>
  <c r="I110" i="1" s="1"/>
  <c r="G149" i="1"/>
  <c r="I149" i="1" s="1"/>
  <c r="P149" i="1"/>
  <c r="G111" i="1"/>
  <c r="I111" i="1" s="1"/>
  <c r="P111" i="1"/>
  <c r="R111" i="1" s="1"/>
  <c r="G80" i="1"/>
  <c r="I80" i="1" s="1"/>
  <c r="P80" i="1"/>
  <c r="G24" i="1"/>
  <c r="H24" i="1"/>
  <c r="P24" i="1"/>
  <c r="G143" i="1"/>
  <c r="I143" i="1" s="1"/>
  <c r="P143" i="1"/>
  <c r="G236" i="1"/>
  <c r="K236" i="1" s="1"/>
  <c r="P236" i="1"/>
  <c r="R236" i="1" s="1"/>
  <c r="G25" i="1"/>
  <c r="P25" i="1"/>
  <c r="H25" i="1"/>
  <c r="G181" i="1"/>
  <c r="I181" i="1" s="1"/>
  <c r="P181" i="1"/>
  <c r="R181" i="1" s="1"/>
  <c r="G27" i="1"/>
  <c r="H27" i="1"/>
  <c r="P27" i="1"/>
  <c r="P194" i="1"/>
  <c r="R194" i="1" s="1"/>
  <c r="G194" i="1"/>
  <c r="I194" i="1" s="1"/>
  <c r="G144" i="1"/>
  <c r="I144" i="1" s="1"/>
  <c r="P144" i="1"/>
  <c r="R144" i="1" s="1"/>
  <c r="G57" i="1"/>
  <c r="I57" i="1" s="1"/>
  <c r="P57" i="1"/>
  <c r="G48" i="1"/>
  <c r="I48" i="1" s="1"/>
  <c r="P48" i="1"/>
  <c r="R48" i="1" s="1"/>
  <c r="G84" i="1"/>
  <c r="I84" i="1" s="1"/>
  <c r="P84" i="1"/>
  <c r="G245" i="1"/>
  <c r="K245" i="1" s="1"/>
  <c r="P245" i="1"/>
  <c r="R245" i="1" s="1"/>
  <c r="G196" i="1"/>
  <c r="K196" i="1" s="1"/>
  <c r="P196" i="1"/>
  <c r="G205" i="1"/>
  <c r="I205" i="1" s="1"/>
  <c r="P205" i="1"/>
  <c r="R205" i="1" s="1"/>
  <c r="H21" i="1"/>
  <c r="G21" i="1"/>
  <c r="P21" i="1"/>
  <c r="G108" i="1"/>
  <c r="I108" i="1" s="1"/>
  <c r="P108" i="1"/>
  <c r="R108" i="1" s="1"/>
  <c r="G33" i="1"/>
  <c r="H33" i="1"/>
  <c r="P33" i="1"/>
  <c r="G90" i="1"/>
  <c r="I90" i="1" s="1"/>
  <c r="P90" i="1"/>
  <c r="G92" i="1"/>
  <c r="I92" i="1" s="1"/>
  <c r="P92" i="1"/>
  <c r="R92" i="1" s="1"/>
  <c r="P174" i="1"/>
  <c r="R174" i="1" s="1"/>
  <c r="G174" i="1"/>
  <c r="I174" i="1" s="1"/>
  <c r="G180" i="1"/>
  <c r="I180" i="1" s="1"/>
  <c r="P180" i="1"/>
  <c r="R180" i="1" s="1"/>
  <c r="G54" i="1"/>
  <c r="I54" i="1" s="1"/>
  <c r="P54" i="1"/>
  <c r="P100" i="1"/>
  <c r="G100" i="1"/>
  <c r="I100" i="1" s="1"/>
  <c r="G43" i="1"/>
  <c r="I43" i="1" s="1"/>
  <c r="P43" i="1"/>
  <c r="P231" i="1"/>
  <c r="G231" i="1"/>
  <c r="K231" i="1" s="1"/>
  <c r="G145" i="1"/>
  <c r="I145" i="1" s="1"/>
  <c r="P145" i="1"/>
  <c r="G258" i="1"/>
  <c r="K258" i="1" s="1"/>
  <c r="P258" i="1"/>
  <c r="R258" i="1" s="1"/>
  <c r="G113" i="1"/>
  <c r="I113" i="1" s="1"/>
  <c r="P113" i="1"/>
  <c r="G197" i="1"/>
  <c r="I197" i="1" s="1"/>
  <c r="P197" i="1"/>
  <c r="R197" i="1" s="1"/>
  <c r="G151" i="1"/>
  <c r="I151" i="1" s="1"/>
  <c r="P151" i="1"/>
  <c r="G88" i="1"/>
  <c r="I88" i="1" s="1"/>
  <c r="P88" i="1"/>
  <c r="R88" i="1" s="1"/>
  <c r="G234" i="1"/>
  <c r="J234" i="1" s="1"/>
  <c r="P234" i="1"/>
  <c r="P42" i="1"/>
  <c r="G42" i="1"/>
  <c r="I42" i="1" s="1"/>
  <c r="G246" i="1"/>
  <c r="K246" i="1" s="1"/>
  <c r="P246" i="1"/>
  <c r="G184" i="1"/>
  <c r="I184" i="1" s="1"/>
  <c r="P184" i="1"/>
  <c r="R184" i="1" s="1"/>
  <c r="G98" i="1"/>
  <c r="I98" i="1" s="1"/>
  <c r="P98" i="1"/>
  <c r="G64" i="1"/>
  <c r="I64" i="1" s="1"/>
  <c r="P64" i="1"/>
  <c r="R64" i="1" s="1"/>
  <c r="G107" i="1"/>
  <c r="I107" i="1" s="1"/>
  <c r="P107" i="1"/>
  <c r="G251" i="1"/>
  <c r="K251" i="1" s="1"/>
  <c r="P251" i="1"/>
  <c r="R251" i="1" s="1"/>
  <c r="G83" i="1"/>
  <c r="I83" i="1" s="1"/>
  <c r="P83" i="1"/>
  <c r="D15" i="1"/>
  <c r="C19" i="1" s="1"/>
  <c r="G192" i="1"/>
  <c r="I192" i="1" s="1"/>
  <c r="P192" i="1"/>
  <c r="G237" i="1"/>
  <c r="K237" i="1" s="1"/>
  <c r="P237" i="1"/>
  <c r="R237" i="1" s="1"/>
  <c r="G45" i="1"/>
  <c r="I45" i="1" s="1"/>
  <c r="P45" i="1"/>
  <c r="G74" i="1"/>
  <c r="I74" i="1" s="1"/>
  <c r="P74" i="1"/>
  <c r="R74" i="1" s="1"/>
  <c r="G118" i="1"/>
  <c r="I118" i="1" s="1"/>
  <c r="P118" i="1"/>
  <c r="G206" i="1"/>
  <c r="J206" i="1" s="1"/>
  <c r="P206" i="1"/>
  <c r="R206" i="1" s="1"/>
  <c r="G106" i="1"/>
  <c r="I106" i="1" s="1"/>
  <c r="P106" i="1"/>
  <c r="R106" i="1" s="1"/>
  <c r="G112" i="1"/>
  <c r="I112" i="1" s="1"/>
  <c r="P112" i="1"/>
  <c r="R112" i="1" s="1"/>
  <c r="G165" i="1"/>
  <c r="I165" i="1" s="1"/>
  <c r="P165" i="1"/>
  <c r="G75" i="1"/>
  <c r="I75" i="1" s="1"/>
  <c r="P75" i="1"/>
  <c r="R75" i="1" s="1"/>
  <c r="G188" i="1"/>
  <c r="K188" i="1" s="1"/>
  <c r="P188" i="1"/>
  <c r="R188" i="1" s="1"/>
  <c r="G120" i="1"/>
  <c r="I120" i="1" s="1"/>
  <c r="P120" i="1"/>
  <c r="R120" i="1" s="1"/>
  <c r="G130" i="1"/>
  <c r="I130" i="1" s="1"/>
  <c r="P130" i="1"/>
  <c r="G164" i="1"/>
  <c r="I164" i="1" s="1"/>
  <c r="P164" i="1"/>
  <c r="R164" i="1" s="1"/>
  <c r="G115" i="1"/>
  <c r="I115" i="1" s="1"/>
  <c r="P115" i="1"/>
  <c r="R115" i="1" s="1"/>
  <c r="G97" i="1"/>
  <c r="I97" i="1" s="1"/>
  <c r="P97" i="1"/>
  <c r="R97" i="1" s="1"/>
  <c r="G78" i="1"/>
  <c r="I78" i="1" s="1"/>
  <c r="P78" i="1"/>
  <c r="G76" i="1"/>
  <c r="I76" i="1" s="1"/>
  <c r="P76" i="1"/>
  <c r="R76" i="1" s="1"/>
  <c r="G178" i="1"/>
  <c r="J178" i="1" s="1"/>
  <c r="P178" i="1"/>
  <c r="R178" i="1" s="1"/>
  <c r="G28" i="1"/>
  <c r="H28" i="1"/>
  <c r="P28" i="1"/>
  <c r="G81" i="1"/>
  <c r="I81" i="1" s="1"/>
  <c r="P81" i="1"/>
  <c r="G89" i="1"/>
  <c r="I89" i="1" s="1"/>
  <c r="P89" i="1"/>
  <c r="R89" i="1" s="1"/>
  <c r="G116" i="1"/>
  <c r="I116" i="1" s="1"/>
  <c r="P116" i="1"/>
  <c r="G244" i="1"/>
  <c r="K244" i="1" s="1"/>
  <c r="P244" i="1"/>
  <c r="G254" i="1"/>
  <c r="K254" i="1" s="1"/>
  <c r="P254" i="1"/>
  <c r="P265" i="1"/>
  <c r="G265" i="1"/>
  <c r="K265" i="1" s="1"/>
  <c r="G40" i="1"/>
  <c r="I40" i="1" s="1"/>
  <c r="P40" i="1"/>
  <c r="G242" i="1"/>
  <c r="K242" i="1" s="1"/>
  <c r="P242" i="1"/>
  <c r="P182" i="1"/>
  <c r="R182" i="1" s="1"/>
  <c r="G182" i="1"/>
  <c r="I182" i="1" s="1"/>
  <c r="P71" i="1"/>
  <c r="G71" i="1"/>
  <c r="I71" i="1" s="1"/>
  <c r="G191" i="1"/>
  <c r="K191" i="1" s="1"/>
  <c r="P191" i="1"/>
  <c r="G34" i="1"/>
  <c r="I34" i="1" s="1"/>
  <c r="P34" i="1"/>
  <c r="G102" i="1"/>
  <c r="I102" i="1" s="1"/>
  <c r="P102" i="1"/>
  <c r="G141" i="1"/>
  <c r="J141" i="1" s="1"/>
  <c r="P141" i="1"/>
  <c r="R141" i="1" s="1"/>
  <c r="G53" i="1"/>
  <c r="I53" i="1" s="1"/>
  <c r="P53" i="1"/>
  <c r="G60" i="1"/>
  <c r="I60" i="1" s="1"/>
  <c r="P60" i="1"/>
  <c r="G148" i="1"/>
  <c r="I148" i="1" s="1"/>
  <c r="P148" i="1"/>
  <c r="G252" i="1"/>
  <c r="K252" i="1" s="1"/>
  <c r="P252" i="1"/>
  <c r="R252" i="1" s="1"/>
  <c r="G241" i="1"/>
  <c r="K241" i="1" s="1"/>
  <c r="P241" i="1"/>
  <c r="G153" i="1"/>
  <c r="I153" i="1" s="1"/>
  <c r="P153" i="1"/>
  <c r="P208" i="1"/>
  <c r="R208" i="1" s="1"/>
  <c r="G208" i="1"/>
  <c r="K208" i="1" s="1"/>
  <c r="G30" i="1"/>
  <c r="P30" i="1"/>
  <c r="H30" i="1"/>
  <c r="G152" i="1"/>
  <c r="I152" i="1" s="1"/>
  <c r="P152" i="1"/>
  <c r="R152" i="1" s="1"/>
  <c r="G238" i="1"/>
  <c r="K238" i="1" s="1"/>
  <c r="P238" i="1"/>
  <c r="G195" i="1"/>
  <c r="J195" i="1" s="1"/>
  <c r="P195" i="1"/>
  <c r="R195" i="1" s="1"/>
  <c r="G29" i="1"/>
  <c r="H29" i="1"/>
  <c r="P29" i="1"/>
  <c r="G136" i="1"/>
  <c r="I136" i="1" s="1"/>
  <c r="P136" i="1"/>
  <c r="G41" i="1"/>
  <c r="I41" i="1" s="1"/>
  <c r="P41" i="1"/>
  <c r="G66" i="1"/>
  <c r="I66" i="1" s="1"/>
  <c r="P66" i="1"/>
  <c r="R66" i="1" s="1"/>
  <c r="G36" i="1"/>
  <c r="I36" i="1" s="1"/>
  <c r="P36" i="1"/>
  <c r="G139" i="1"/>
  <c r="I139" i="1" s="1"/>
  <c r="P139" i="1"/>
  <c r="G216" i="1"/>
  <c r="K216" i="1" s="1"/>
  <c r="P216" i="1"/>
  <c r="G128" i="1"/>
  <c r="I128" i="1" s="1"/>
  <c r="P128" i="1"/>
  <c r="R128" i="1" s="1"/>
  <c r="H31" i="1"/>
  <c r="G31" i="1"/>
  <c r="P31" i="1"/>
  <c r="G138" i="1"/>
  <c r="I138" i="1" s="1"/>
  <c r="P138" i="1"/>
  <c r="G226" i="1"/>
  <c r="K226" i="1" s="1"/>
  <c r="P226" i="1"/>
  <c r="R226" i="1" s="1"/>
  <c r="G243" i="1"/>
  <c r="K243" i="1" s="1"/>
  <c r="P243" i="1"/>
  <c r="G225" i="1"/>
  <c r="K225" i="1" s="1"/>
  <c r="P225" i="1"/>
  <c r="R225" i="1" s="1"/>
  <c r="G233" i="1"/>
  <c r="J233" i="1" s="1"/>
  <c r="P233" i="1"/>
  <c r="G240" i="1"/>
  <c r="K240" i="1" s="1"/>
  <c r="P240" i="1"/>
  <c r="R240" i="1" s="1"/>
  <c r="G32" i="1"/>
  <c r="H32" i="1"/>
  <c r="P32" i="1"/>
  <c r="G223" i="1"/>
  <c r="I223" i="1" s="1"/>
  <c r="P223" i="1"/>
  <c r="G187" i="1"/>
  <c r="K187" i="1" s="1"/>
  <c r="P187" i="1"/>
  <c r="G154" i="1"/>
  <c r="J154" i="1" s="1"/>
  <c r="P154" i="1"/>
  <c r="R154" i="1" s="1"/>
  <c r="G262" i="1"/>
  <c r="K262" i="1" s="1"/>
  <c r="P262" i="1"/>
  <c r="G186" i="1"/>
  <c r="K186" i="1" s="1"/>
  <c r="P186" i="1"/>
  <c r="G171" i="1"/>
  <c r="I171" i="1" s="1"/>
  <c r="P171" i="1"/>
  <c r="G169" i="1"/>
  <c r="I169" i="1" s="1"/>
  <c r="P169" i="1"/>
  <c r="R169" i="1" s="1"/>
  <c r="G189" i="1"/>
  <c r="I189" i="1" s="1"/>
  <c r="P189" i="1"/>
  <c r="P213" i="1"/>
  <c r="R213" i="1" s="1"/>
  <c r="G213" i="1"/>
  <c r="K213" i="1" s="1"/>
  <c r="G133" i="1"/>
  <c r="I133" i="1" s="1"/>
  <c r="P133" i="1"/>
  <c r="G201" i="1"/>
  <c r="I201" i="1" s="1"/>
  <c r="P201" i="1"/>
  <c r="R201" i="1" s="1"/>
  <c r="G79" i="1"/>
  <c r="I79" i="1" s="1"/>
  <c r="P79" i="1"/>
  <c r="G214" i="1"/>
  <c r="K214" i="1" s="1"/>
  <c r="P214" i="1"/>
  <c r="G132" i="1"/>
  <c r="I132" i="1" s="1"/>
  <c r="P132" i="1"/>
  <c r="G96" i="1"/>
  <c r="I96" i="1" s="1"/>
  <c r="P96" i="1"/>
  <c r="R96" i="1" s="1"/>
  <c r="G94" i="1"/>
  <c r="I94" i="1" s="1"/>
  <c r="P94" i="1"/>
  <c r="G157" i="1"/>
  <c r="J157" i="1" s="1"/>
  <c r="P157" i="1"/>
  <c r="P161" i="1"/>
  <c r="R161" i="1" s="1"/>
  <c r="G161" i="1"/>
  <c r="I161" i="1" s="1"/>
  <c r="R272" i="1"/>
  <c r="R135" i="1"/>
  <c r="M4" i="3"/>
  <c r="M2" i="3"/>
  <c r="M1" i="3"/>
  <c r="O32" i="3"/>
  <c r="C12" i="1"/>
  <c r="C11" i="1"/>
  <c r="O174" i="3" l="1"/>
  <c r="O72" i="3"/>
  <c r="O40" i="3"/>
  <c r="O162" i="3"/>
  <c r="O108" i="3"/>
  <c r="O149" i="3"/>
  <c r="O154" i="3"/>
  <c r="O43" i="3"/>
  <c r="O27" i="3"/>
  <c r="O76" i="3"/>
  <c r="O130" i="3"/>
  <c r="O289" i="1"/>
  <c r="O51" i="3"/>
  <c r="O36" i="3"/>
  <c r="O83" i="3"/>
  <c r="O145" i="3"/>
  <c r="O53" i="3"/>
  <c r="O142" i="3"/>
  <c r="O75" i="3"/>
  <c r="O163" i="3"/>
  <c r="O175" i="3"/>
  <c r="O97" i="3"/>
  <c r="O71" i="3"/>
  <c r="O137" i="3"/>
  <c r="O168" i="3"/>
  <c r="O54" i="3"/>
  <c r="O123" i="3"/>
  <c r="O30" i="3"/>
  <c r="O22" i="3"/>
  <c r="O66" i="3"/>
  <c r="O49" i="3"/>
  <c r="O121" i="3"/>
  <c r="O153" i="3"/>
  <c r="O128" i="3"/>
  <c r="O33" i="3"/>
  <c r="O155" i="3"/>
  <c r="O176" i="3"/>
  <c r="O125" i="3"/>
  <c r="O172" i="3"/>
  <c r="O58" i="3"/>
  <c r="O164" i="3"/>
  <c r="O44" i="3"/>
  <c r="O147" i="3"/>
  <c r="O127" i="3"/>
  <c r="O131" i="3"/>
  <c r="O57" i="3"/>
  <c r="O107" i="3"/>
  <c r="O56" i="3"/>
  <c r="O134" i="3"/>
  <c r="O24" i="3"/>
  <c r="O173" i="3"/>
  <c r="O91" i="3"/>
  <c r="O29" i="3"/>
  <c r="O52" i="3"/>
  <c r="O92" i="3"/>
  <c r="O103" i="3"/>
  <c r="O113" i="3"/>
  <c r="O140" i="3"/>
  <c r="O114" i="3"/>
  <c r="O138" i="3"/>
  <c r="O89" i="3"/>
  <c r="O124" i="3"/>
  <c r="O99" i="3"/>
  <c r="O170" i="3"/>
  <c r="O78" i="3"/>
  <c r="O165" i="3"/>
  <c r="O110" i="3"/>
  <c r="O60" i="3"/>
  <c r="O90" i="3"/>
  <c r="O133" i="3"/>
  <c r="O42" i="3"/>
  <c r="O112" i="3"/>
  <c r="O70" i="3"/>
  <c r="O50" i="3"/>
  <c r="O132" i="3"/>
  <c r="O34" i="3"/>
  <c r="O96" i="3"/>
  <c r="O35" i="3"/>
  <c r="O81" i="3"/>
  <c r="O146" i="3"/>
  <c r="O118" i="3"/>
  <c r="O135" i="3"/>
  <c r="O157" i="3"/>
  <c r="O144" i="3"/>
  <c r="O39" i="3"/>
  <c r="O73" i="3"/>
  <c r="O141" i="3"/>
  <c r="O150" i="3"/>
  <c r="O84" i="3"/>
  <c r="O77" i="3"/>
  <c r="O101" i="3"/>
  <c r="O82" i="3"/>
  <c r="O148" i="3"/>
  <c r="O47" i="3"/>
  <c r="O28" i="3"/>
  <c r="O161" i="3"/>
  <c r="O46" i="3"/>
  <c r="O105" i="3"/>
  <c r="O37" i="3"/>
  <c r="O126" i="3"/>
  <c r="O25" i="3"/>
  <c r="O48" i="3"/>
  <c r="O21" i="3"/>
  <c r="O158" i="3"/>
  <c r="O160" i="3"/>
  <c r="O106" i="3"/>
  <c r="O171" i="3"/>
  <c r="O100" i="3"/>
  <c r="O120" i="3"/>
  <c r="O111" i="3"/>
  <c r="O64" i="3"/>
  <c r="O117" i="3"/>
  <c r="O115" i="3"/>
  <c r="O152" i="3"/>
  <c r="O65" i="3"/>
  <c r="O79" i="3"/>
  <c r="O104" i="3"/>
  <c r="O88" i="3"/>
  <c r="O169" i="3"/>
  <c r="O109" i="3"/>
  <c r="O68" i="3"/>
  <c r="O86" i="3"/>
  <c r="O74" i="3"/>
  <c r="O95" i="3"/>
  <c r="O156" i="3"/>
  <c r="O45" i="3"/>
  <c r="O116" i="3"/>
  <c r="O55" i="3"/>
  <c r="O93" i="3"/>
  <c r="O38" i="3"/>
  <c r="O69" i="3"/>
  <c r="O62" i="3"/>
  <c r="O80" i="3"/>
  <c r="O151" i="3"/>
  <c r="O136" i="3"/>
  <c r="O61" i="3"/>
  <c r="O139" i="3"/>
  <c r="O143" i="3"/>
  <c r="O102" i="3"/>
  <c r="O98" i="3"/>
  <c r="O159" i="3"/>
  <c r="O122" i="3"/>
  <c r="O26" i="3"/>
  <c r="O94" i="3"/>
  <c r="O23" i="3"/>
  <c r="O59" i="3"/>
  <c r="O41" i="3"/>
  <c r="O119" i="3"/>
  <c r="O67" i="3"/>
  <c r="O63" i="3"/>
  <c r="O85" i="3"/>
  <c r="O129" i="3"/>
  <c r="O31" i="3"/>
  <c r="O87" i="3"/>
  <c r="O167" i="3"/>
  <c r="O288" i="1"/>
  <c r="O243" i="1"/>
  <c r="O260" i="1"/>
  <c r="O46" i="1"/>
  <c r="O180" i="1"/>
  <c r="O221" i="1"/>
  <c r="O259" i="1"/>
  <c r="O270" i="1"/>
  <c r="O192" i="1"/>
  <c r="O184" i="1"/>
  <c r="O273" i="1"/>
  <c r="O218" i="1"/>
  <c r="O190" i="1"/>
  <c r="O282" i="1"/>
  <c r="O281" i="1"/>
  <c r="O283" i="1"/>
  <c r="O250" i="1"/>
  <c r="O249" i="1"/>
  <c r="O286" i="1"/>
  <c r="O233" i="1"/>
  <c r="O205" i="1"/>
  <c r="O267" i="1"/>
  <c r="O224" i="1"/>
  <c r="O276" i="1"/>
  <c r="O256" i="1"/>
  <c r="O212" i="1"/>
  <c r="O241" i="1"/>
  <c r="O271" i="1"/>
  <c r="O168" i="1"/>
  <c r="O173" i="1"/>
  <c r="O198" i="1"/>
  <c r="O176" i="1"/>
  <c r="O235" i="1"/>
  <c r="O189" i="1"/>
  <c r="O211" i="1"/>
  <c r="O244" i="1"/>
  <c r="O287" i="1"/>
  <c r="O213" i="1"/>
  <c r="O245" i="1"/>
  <c r="O236" i="1"/>
  <c r="O194" i="1"/>
  <c r="O228" i="1"/>
  <c r="O217" i="1"/>
  <c r="O175" i="1"/>
  <c r="O186" i="1"/>
  <c r="O269" i="1"/>
  <c r="O261" i="1"/>
  <c r="O246" i="1"/>
  <c r="O240" i="1"/>
  <c r="O239" i="1"/>
  <c r="O225" i="1"/>
  <c r="O220" i="1"/>
  <c r="O174" i="1"/>
  <c r="O165" i="1"/>
  <c r="O170" i="1"/>
  <c r="O215" i="1"/>
  <c r="O238" i="1"/>
  <c r="O208" i="1"/>
  <c r="O178" i="1"/>
  <c r="O219" i="1"/>
  <c r="O268" i="1"/>
  <c r="C15" i="1"/>
  <c r="O203" i="1"/>
  <c r="O169" i="1"/>
  <c r="O183" i="1"/>
  <c r="O210" i="1"/>
  <c r="O207" i="1"/>
  <c r="O101" i="1"/>
  <c r="O222" i="1"/>
  <c r="O272" i="1"/>
  <c r="O251" i="1"/>
  <c r="O197" i="1"/>
  <c r="O141" i="1"/>
  <c r="O166" i="1"/>
  <c r="O201" i="1"/>
  <c r="O262" i="1"/>
  <c r="O226" i="1"/>
  <c r="O242" i="1"/>
  <c r="O209" i="1"/>
  <c r="O274" i="1"/>
  <c r="O264" i="1"/>
  <c r="O247" i="1"/>
  <c r="O200" i="1"/>
  <c r="O199" i="1"/>
  <c r="O196" i="1"/>
  <c r="O237" i="1"/>
  <c r="O253" i="1"/>
  <c r="O204" i="1"/>
  <c r="O230" i="1"/>
  <c r="O177" i="1"/>
  <c r="O280" i="1"/>
  <c r="O100" i="1"/>
  <c r="O164" i="1"/>
  <c r="O179" i="1"/>
  <c r="O257" i="1"/>
  <c r="O181" i="1"/>
  <c r="O263" i="1"/>
  <c r="O191" i="1"/>
  <c r="O99" i="1"/>
  <c r="O229" i="1"/>
  <c r="O278" i="1"/>
  <c r="O258" i="1"/>
  <c r="O202" i="1"/>
  <c r="O187" i="1"/>
  <c r="O234" i="1"/>
  <c r="O266" i="1"/>
  <c r="O284" i="1"/>
  <c r="O277" i="1"/>
  <c r="O232" i="1"/>
  <c r="O285" i="1"/>
  <c r="O171" i="1"/>
  <c r="O252" i="1"/>
  <c r="O48" i="1"/>
  <c r="O185" i="1"/>
  <c r="O182" i="1"/>
  <c r="O248" i="1"/>
  <c r="O254" i="1"/>
  <c r="O49" i="1"/>
  <c r="O47" i="1"/>
  <c r="O206" i="1"/>
  <c r="O231" i="1"/>
  <c r="O45" i="1"/>
  <c r="O279" i="1"/>
  <c r="O172" i="1"/>
  <c r="O223" i="1"/>
  <c r="O195" i="1"/>
  <c r="O265" i="1"/>
  <c r="O167" i="1"/>
  <c r="O255" i="1"/>
  <c r="O193" i="1"/>
  <c r="O87" i="1"/>
  <c r="O214" i="1"/>
  <c r="O227" i="1"/>
  <c r="O216" i="1"/>
  <c r="O188" i="1"/>
  <c r="O275" i="1"/>
  <c r="C16" i="1"/>
  <c r="D18" i="1" s="1"/>
  <c r="R132" i="1"/>
  <c r="R133" i="1"/>
  <c r="R171" i="1"/>
  <c r="R187" i="1"/>
  <c r="R216" i="1"/>
  <c r="R41" i="1"/>
  <c r="R148" i="1"/>
  <c r="R102" i="1"/>
  <c r="R254" i="1"/>
  <c r="R81" i="1"/>
  <c r="R107" i="1"/>
  <c r="R246" i="1"/>
  <c r="R151" i="1"/>
  <c r="R145" i="1"/>
  <c r="R54" i="1"/>
  <c r="R90" i="1"/>
  <c r="R84" i="1"/>
  <c r="R110" i="1"/>
  <c r="R39" i="1"/>
  <c r="R114" i="1"/>
  <c r="R134" i="1"/>
  <c r="R220" i="1"/>
  <c r="R95" i="1"/>
  <c r="R248" i="1"/>
  <c r="R37" i="1"/>
  <c r="R183" i="1"/>
  <c r="R123" i="1"/>
  <c r="R155" i="1"/>
  <c r="R131" i="1"/>
  <c r="R38" i="1"/>
  <c r="R233" i="1"/>
  <c r="R138" i="1"/>
  <c r="R238" i="1"/>
  <c r="R78" i="1"/>
  <c r="R130" i="1"/>
  <c r="R165" i="1"/>
  <c r="R118" i="1"/>
  <c r="R192" i="1"/>
  <c r="R80" i="1"/>
  <c r="R65" i="1"/>
  <c r="R157" i="1"/>
  <c r="R214" i="1"/>
  <c r="R186" i="1"/>
  <c r="R223" i="1"/>
  <c r="R139" i="1"/>
  <c r="R136" i="1"/>
  <c r="R153" i="1"/>
  <c r="R60" i="1"/>
  <c r="R34" i="1"/>
  <c r="R242" i="1"/>
  <c r="R244" i="1"/>
  <c r="R42" i="1"/>
  <c r="R231" i="1"/>
  <c r="R117" i="1"/>
  <c r="R127" i="1"/>
  <c r="R94" i="1"/>
  <c r="R79" i="1"/>
  <c r="R189" i="1"/>
  <c r="R262" i="1"/>
  <c r="R36" i="1"/>
  <c r="R241" i="1"/>
  <c r="R53" i="1"/>
  <c r="R191" i="1"/>
  <c r="R40" i="1"/>
  <c r="R116" i="1"/>
  <c r="R83" i="1"/>
  <c r="R98" i="1"/>
  <c r="R234" i="1"/>
  <c r="R113" i="1"/>
  <c r="R43" i="1"/>
  <c r="R196" i="1"/>
  <c r="R57" i="1"/>
  <c r="R143" i="1"/>
  <c r="R207" i="1"/>
  <c r="R210" i="1"/>
  <c r="R219" i="1"/>
  <c r="R239" i="1"/>
  <c r="R185" i="1"/>
  <c r="R212" i="1"/>
  <c r="R49" i="1"/>
  <c r="R124" i="1"/>
  <c r="R119" i="1"/>
  <c r="R146" i="1"/>
  <c r="K227" i="1"/>
  <c r="R82" i="1"/>
  <c r="R260" i="1"/>
  <c r="R243" i="1"/>
  <c r="R45" i="1"/>
  <c r="R149" i="1"/>
  <c r="R104" i="1"/>
  <c r="R71" i="1"/>
  <c r="R265" i="1"/>
  <c r="R100" i="1"/>
  <c r="R204" i="1"/>
  <c r="M21" i="3"/>
  <c r="M100" i="3"/>
  <c r="M169" i="3"/>
  <c r="M64" i="3"/>
  <c r="M146" i="3"/>
  <c r="M30" i="3"/>
  <c r="M107" i="3"/>
  <c r="M66" i="3"/>
  <c r="M37" i="3"/>
  <c r="M97" i="3"/>
  <c r="M119" i="3"/>
  <c r="M69" i="3"/>
  <c r="M153" i="3"/>
  <c r="M50" i="3"/>
  <c r="M124" i="3"/>
  <c r="M116" i="3"/>
  <c r="M121" i="3"/>
  <c r="M33" i="3"/>
  <c r="M25" i="3"/>
  <c r="M43" i="3"/>
  <c r="M96" i="3"/>
  <c r="M176" i="3"/>
  <c r="M167" i="3"/>
  <c r="M125" i="3"/>
  <c r="M105" i="3"/>
  <c r="M95" i="3"/>
  <c r="M163" i="3"/>
  <c r="M164" i="3"/>
  <c r="M27" i="3"/>
  <c r="M170" i="3"/>
  <c r="M85" i="3"/>
  <c r="M160" i="3"/>
  <c r="M137" i="3"/>
  <c r="M65" i="3"/>
  <c r="M70" i="3"/>
  <c r="M108" i="3"/>
  <c r="M51" i="3"/>
  <c r="M44" i="3"/>
  <c r="M58" i="3"/>
  <c r="M48" i="3"/>
  <c r="M136" i="3"/>
  <c r="M28" i="3"/>
  <c r="M150" i="3"/>
  <c r="M135" i="3"/>
  <c r="M59" i="3"/>
  <c r="M93" i="3"/>
  <c r="M31" i="3"/>
  <c r="M166" i="3"/>
  <c r="M151" i="3"/>
  <c r="M76" i="3"/>
  <c r="M92" i="3"/>
  <c r="M84" i="3"/>
  <c r="M175" i="3"/>
  <c r="M36" i="3"/>
  <c r="M99" i="3"/>
  <c r="M67" i="3"/>
  <c r="M87" i="3"/>
  <c r="M155" i="3"/>
  <c r="M156" i="3"/>
  <c r="M35" i="3"/>
  <c r="M86" i="3"/>
  <c r="M47" i="3"/>
  <c r="M126" i="3"/>
  <c r="M109" i="3"/>
  <c r="M68" i="3"/>
  <c r="M165" i="3"/>
  <c r="M63" i="3"/>
  <c r="M131" i="3"/>
  <c r="M132" i="3"/>
  <c r="M79" i="3"/>
  <c r="M172" i="3"/>
  <c r="M144" i="3"/>
  <c r="M57" i="3"/>
  <c r="M130" i="3"/>
  <c r="M41" i="3"/>
  <c r="M123" i="3"/>
  <c r="M122" i="3"/>
  <c r="M42" i="3"/>
  <c r="M141" i="3"/>
  <c r="M111" i="3"/>
  <c r="M26" i="3"/>
  <c r="M106" i="3"/>
  <c r="M38" i="3"/>
  <c r="M114" i="3"/>
  <c r="M127" i="3"/>
  <c r="M78" i="3"/>
  <c r="M161" i="3"/>
  <c r="M101" i="3"/>
  <c r="M29" i="3"/>
  <c r="M162" i="3"/>
  <c r="M142" i="3"/>
  <c r="M40" i="3"/>
  <c r="M80" i="3"/>
  <c r="M82" i="3"/>
  <c r="M34" i="3"/>
  <c r="M60" i="3"/>
  <c r="M7" i="3"/>
  <c r="E6" i="3" s="1"/>
  <c r="E9" i="3" s="1"/>
  <c r="M112" i="3"/>
  <c r="M88" i="3"/>
  <c r="M83" i="3"/>
  <c r="M152" i="3"/>
  <c r="M159" i="3"/>
  <c r="M53" i="3"/>
  <c r="M46" i="3"/>
  <c r="M94" i="3"/>
  <c r="M168" i="3"/>
  <c r="M145" i="3"/>
  <c r="M147" i="3"/>
  <c r="M62" i="3"/>
  <c r="M98" i="3"/>
  <c r="M89" i="3"/>
  <c r="M71" i="3"/>
  <c r="M77" i="3"/>
  <c r="M56" i="3"/>
  <c r="M128" i="3"/>
  <c r="M149" i="3"/>
  <c r="M113" i="3"/>
  <c r="M174" i="3"/>
  <c r="M91" i="3"/>
  <c r="M61" i="3"/>
  <c r="M75" i="3"/>
  <c r="M102" i="3"/>
  <c r="M139" i="3"/>
  <c r="M157" i="3"/>
  <c r="M90" i="3"/>
  <c r="M103" i="3"/>
  <c r="M45" i="3"/>
  <c r="M24" i="3"/>
  <c r="M73" i="3"/>
  <c r="M23" i="3"/>
  <c r="M104" i="3"/>
  <c r="M171" i="3"/>
  <c r="M118" i="3"/>
  <c r="M140" i="3"/>
  <c r="M134" i="3"/>
  <c r="M55" i="3"/>
  <c r="M173" i="3"/>
  <c r="M120" i="3"/>
  <c r="M148" i="3"/>
  <c r="M81" i="3"/>
  <c r="M154" i="3"/>
  <c r="M158" i="3"/>
  <c r="M54" i="3"/>
  <c r="M138" i="3"/>
  <c r="M72" i="3"/>
  <c r="M110" i="3"/>
  <c r="M115" i="3"/>
  <c r="M129" i="3"/>
  <c r="M32" i="3"/>
  <c r="M74" i="3"/>
  <c r="M117" i="3"/>
  <c r="M52" i="3"/>
  <c r="M143" i="3"/>
  <c r="M39" i="3"/>
  <c r="M49" i="3"/>
  <c r="M22" i="3"/>
  <c r="M133" i="3"/>
  <c r="N21" i="3"/>
  <c r="N59" i="3"/>
  <c r="N176" i="3"/>
  <c r="N49" i="3"/>
  <c r="N42" i="3"/>
  <c r="N123" i="3"/>
  <c r="N124" i="3"/>
  <c r="N134" i="3"/>
  <c r="N156" i="3"/>
  <c r="N129" i="3"/>
  <c r="N154" i="3"/>
  <c r="N144" i="3"/>
  <c r="N54" i="3"/>
  <c r="N91" i="3"/>
  <c r="N103" i="3"/>
  <c r="N121" i="3"/>
  <c r="N25" i="3"/>
  <c r="N101" i="3"/>
  <c r="N92" i="3"/>
  <c r="N32" i="3"/>
  <c r="N23" i="3"/>
  <c r="N142" i="3"/>
  <c r="N87" i="3"/>
  <c r="N80" i="3"/>
  <c r="N175" i="3"/>
  <c r="N69" i="3"/>
  <c r="N22" i="3"/>
  <c r="N68" i="3"/>
  <c r="N55" i="3"/>
  <c r="N117" i="3"/>
  <c r="N33" i="3"/>
  <c r="N110" i="3"/>
  <c r="N76" i="3"/>
  <c r="N163" i="3"/>
  <c r="N81" i="3"/>
  <c r="N47" i="3"/>
  <c r="N90" i="3"/>
  <c r="N104" i="3"/>
  <c r="N45" i="3"/>
  <c r="N173" i="3"/>
  <c r="N39" i="3"/>
  <c r="N37" i="3"/>
  <c r="N34" i="3"/>
  <c r="N74" i="3"/>
  <c r="N38" i="3"/>
  <c r="N85" i="3"/>
  <c r="N136" i="3"/>
  <c r="N75" i="3"/>
  <c r="N168" i="3"/>
  <c r="N83" i="3"/>
  <c r="N165" i="3"/>
  <c r="N86" i="3"/>
  <c r="N138" i="3"/>
  <c r="N169" i="3"/>
  <c r="N151" i="3"/>
  <c r="N174" i="3"/>
  <c r="N109" i="3"/>
  <c r="N160" i="3"/>
  <c r="N120" i="3"/>
  <c r="N143" i="3"/>
  <c r="N172" i="3"/>
  <c r="N114" i="3"/>
  <c r="N78" i="3"/>
  <c r="N26" i="3"/>
  <c r="N149" i="3"/>
  <c r="N118" i="3"/>
  <c r="N164" i="3"/>
  <c r="N170" i="3"/>
  <c r="N97" i="3"/>
  <c r="N171" i="3"/>
  <c r="N99" i="3"/>
  <c r="N28" i="3"/>
  <c r="N131" i="3"/>
  <c r="N35" i="3"/>
  <c r="N93" i="3"/>
  <c r="N106" i="3"/>
  <c r="N105" i="3"/>
  <c r="N148" i="3"/>
  <c r="N46" i="3"/>
  <c r="N65" i="3"/>
  <c r="N73" i="3"/>
  <c r="N94" i="3"/>
  <c r="N115" i="3"/>
  <c r="N158" i="3"/>
  <c r="N67" i="3"/>
  <c r="N77" i="3"/>
  <c r="N98" i="3"/>
  <c r="N30" i="3"/>
  <c r="N132" i="3"/>
  <c r="N122" i="3"/>
  <c r="N61" i="3"/>
  <c r="N70" i="3"/>
  <c r="N159" i="3"/>
  <c r="N141" i="3"/>
  <c r="N24" i="3"/>
  <c r="N111" i="3"/>
  <c r="N162" i="3"/>
  <c r="N44" i="3"/>
  <c r="N72" i="3"/>
  <c r="N66" i="3"/>
  <c r="N36" i="3"/>
  <c r="N145" i="3"/>
  <c r="N166" i="3"/>
  <c r="N43" i="3"/>
  <c r="N58" i="3"/>
  <c r="N102" i="3"/>
  <c r="N153" i="3"/>
  <c r="N63" i="3"/>
  <c r="N31" i="3"/>
  <c r="N48" i="3"/>
  <c r="N53" i="3"/>
  <c r="N41" i="3"/>
  <c r="N119" i="3"/>
  <c r="N150" i="3"/>
  <c r="N147" i="3"/>
  <c r="N27" i="3"/>
  <c r="N29" i="3"/>
  <c r="N167" i="3"/>
  <c r="N84" i="3"/>
  <c r="N116" i="3"/>
  <c r="N56" i="3"/>
  <c r="N125" i="3"/>
  <c r="N161" i="3"/>
  <c r="N71" i="3"/>
  <c r="N126" i="3"/>
  <c r="N100" i="3"/>
  <c r="N89" i="3"/>
  <c r="N155" i="3"/>
  <c r="N57" i="3"/>
  <c r="N128" i="3"/>
  <c r="N82" i="3"/>
  <c r="N157" i="3"/>
  <c r="N127" i="3"/>
  <c r="N137" i="3"/>
  <c r="N107" i="3"/>
  <c r="N79" i="3"/>
  <c r="N51" i="3"/>
  <c r="N108" i="3"/>
  <c r="N96" i="3"/>
  <c r="N152" i="3"/>
  <c r="N64" i="3"/>
  <c r="N88" i="3"/>
  <c r="N113" i="3"/>
  <c r="N140" i="3"/>
  <c r="N130" i="3"/>
  <c r="N135" i="3"/>
  <c r="N40" i="3"/>
  <c r="N60" i="3"/>
  <c r="N133" i="3"/>
  <c r="N50" i="3"/>
  <c r="N62" i="3"/>
  <c r="N139" i="3"/>
  <c r="N146" i="3"/>
  <c r="N112" i="3"/>
  <c r="N95" i="3"/>
  <c r="N52" i="3"/>
  <c r="N18" i="3"/>
  <c r="O18" i="3"/>
  <c r="M18" i="3"/>
  <c r="F6" i="1" l="1"/>
  <c r="F8" i="1" s="1"/>
  <c r="E14" i="1"/>
  <c r="E4" i="3"/>
  <c r="C18" i="1"/>
  <c r="E5" i="3"/>
  <c r="F7" i="1" l="1"/>
  <c r="K144" i="3"/>
  <c r="L144" i="3" s="1"/>
  <c r="K99" i="3"/>
  <c r="L99" i="3" s="1"/>
  <c r="K32" i="3"/>
  <c r="L32" i="3" s="1"/>
  <c r="K149" i="3"/>
  <c r="L149" i="3" s="1"/>
  <c r="K56" i="3"/>
  <c r="L56" i="3" s="1"/>
  <c r="K166" i="3"/>
  <c r="L166" i="3" s="1"/>
  <c r="K127" i="3"/>
  <c r="L127" i="3" s="1"/>
  <c r="K67" i="3"/>
  <c r="P67" i="3" s="1"/>
  <c r="K169" i="3"/>
  <c r="P169" i="3" s="1"/>
  <c r="K109" i="3"/>
  <c r="P109" i="3" s="1"/>
  <c r="K152" i="3"/>
  <c r="L152" i="3" s="1"/>
  <c r="K83" i="3"/>
  <c r="P83" i="3" s="1"/>
  <c r="K46" i="3"/>
  <c r="L46" i="3" s="1"/>
  <c r="K91" i="3"/>
  <c r="P91" i="3" s="1"/>
  <c r="K102" i="3"/>
  <c r="P102" i="3" s="1"/>
  <c r="K146" i="3"/>
  <c r="P146" i="3" s="1"/>
  <c r="K38" i="3"/>
  <c r="L38" i="3" s="1"/>
  <c r="K118" i="3"/>
  <c r="P118" i="3" s="1"/>
  <c r="K131" i="3"/>
  <c r="P131" i="3" s="1"/>
  <c r="K112" i="3"/>
  <c r="L112" i="3" s="1"/>
  <c r="K85" i="3"/>
  <c r="L85" i="3" s="1"/>
  <c r="K81" i="3"/>
  <c r="L81" i="3" s="1"/>
  <c r="K170" i="3"/>
  <c r="L170" i="3" s="1"/>
  <c r="K80" i="3"/>
  <c r="P80" i="3" s="1"/>
  <c r="K136" i="3"/>
  <c r="L136" i="3" s="1"/>
  <c r="K164" i="3"/>
  <c r="L164" i="3" s="1"/>
  <c r="K47" i="3"/>
  <c r="L47" i="3" s="1"/>
  <c r="K50" i="3"/>
  <c r="L50" i="3" s="1"/>
  <c r="K94" i="3"/>
  <c r="P94" i="3" s="1"/>
  <c r="K123" i="3"/>
  <c r="P123" i="3" s="1"/>
  <c r="K115" i="3"/>
  <c r="L115" i="3" s="1"/>
  <c r="K26" i="3"/>
  <c r="L26" i="3" s="1"/>
  <c r="K167" i="3"/>
  <c r="P167" i="3" s="1"/>
  <c r="K82" i="3"/>
  <c r="L82" i="3" s="1"/>
  <c r="K79" i="3"/>
  <c r="P79" i="3" s="1"/>
  <c r="K64" i="3"/>
  <c r="L64" i="3" s="1"/>
  <c r="K122" i="3"/>
  <c r="P122" i="3" s="1"/>
  <c r="K116" i="3"/>
  <c r="P116" i="3" s="1"/>
  <c r="K129" i="3"/>
  <c r="L129" i="3" s="1"/>
  <c r="K142" i="3"/>
  <c r="P142" i="3" s="1"/>
  <c r="K141" i="3"/>
  <c r="P141" i="3" s="1"/>
  <c r="K162" i="3"/>
  <c r="P162" i="3" s="1"/>
  <c r="K87" i="3"/>
  <c r="L87" i="3" s="1"/>
  <c r="K60" i="3"/>
  <c r="L60" i="3" s="1"/>
  <c r="K117" i="3"/>
  <c r="L117" i="3" s="1"/>
  <c r="K155" i="3"/>
  <c r="L155" i="3" s="1"/>
  <c r="K92" i="3"/>
  <c r="L92" i="3" s="1"/>
  <c r="K106" i="3"/>
  <c r="P106" i="3" s="1"/>
  <c r="K86" i="3"/>
  <c r="P86" i="3" s="1"/>
  <c r="K104" i="3"/>
  <c r="L104" i="3" s="1"/>
  <c r="K154" i="3"/>
  <c r="L154" i="3" s="1"/>
  <c r="K159" i="3"/>
  <c r="L159" i="3" s="1"/>
  <c r="K110" i="3"/>
  <c r="L110" i="3" s="1"/>
  <c r="K137" i="3"/>
  <c r="P137" i="3" s="1"/>
  <c r="K24" i="3"/>
  <c r="L24" i="3" s="1"/>
  <c r="K23" i="3"/>
  <c r="L23" i="3" s="1"/>
  <c r="K174" i="3"/>
  <c r="P174" i="3" s="1"/>
  <c r="K125" i="3"/>
  <c r="L125" i="3" s="1"/>
  <c r="K108" i="3"/>
  <c r="L108" i="3" s="1"/>
  <c r="K165" i="3"/>
  <c r="L165" i="3" s="1"/>
  <c r="K43" i="3"/>
  <c r="L43" i="3" s="1"/>
  <c r="K90" i="3"/>
  <c r="L90" i="3" s="1"/>
  <c r="K134" i="3"/>
  <c r="P134" i="3" s="1"/>
  <c r="K25" i="3"/>
  <c r="L25" i="3" s="1"/>
  <c r="K73" i="3"/>
  <c r="L73" i="3" s="1"/>
  <c r="K45" i="3"/>
  <c r="L45" i="3" s="1"/>
  <c r="K27" i="3"/>
  <c r="L27" i="3" s="1"/>
  <c r="K22" i="3"/>
  <c r="P22" i="3" s="1"/>
  <c r="K36" i="3"/>
  <c r="L36" i="3" s="1"/>
  <c r="K58" i="3"/>
  <c r="L58" i="3" s="1"/>
  <c r="K62" i="3"/>
  <c r="P62" i="3" s="1"/>
  <c r="K130" i="3"/>
  <c r="P130" i="3" s="1"/>
  <c r="K156" i="3"/>
  <c r="P156" i="3" s="1"/>
  <c r="K52" i="3"/>
  <c r="P52" i="3" s="1"/>
  <c r="K28" i="3"/>
  <c r="L28" i="3" s="1"/>
  <c r="K70" i="3"/>
  <c r="P70" i="3" s="1"/>
  <c r="K150" i="3"/>
  <c r="L150" i="3" s="1"/>
  <c r="K53" i="3"/>
  <c r="P53" i="3" s="1"/>
  <c r="K72" i="3"/>
  <c r="P72" i="3" s="1"/>
  <c r="K121" i="3"/>
  <c r="P121" i="3" s="1"/>
  <c r="K135" i="3"/>
  <c r="L135" i="3" s="1"/>
  <c r="K89" i="3"/>
  <c r="P89" i="3" s="1"/>
  <c r="K74" i="3"/>
  <c r="P74" i="3" s="1"/>
  <c r="K175" i="3"/>
  <c r="P175" i="3" s="1"/>
  <c r="K119" i="3"/>
  <c r="L119" i="3" s="1"/>
  <c r="K103" i="3"/>
  <c r="P103" i="3" s="1"/>
  <c r="K153" i="3"/>
  <c r="L153" i="3" s="1"/>
  <c r="K148" i="3"/>
  <c r="P148" i="3" s="1"/>
  <c r="K140" i="3"/>
  <c r="P140" i="3" s="1"/>
  <c r="K42" i="3"/>
  <c r="L42" i="3" s="1"/>
  <c r="K157" i="3"/>
  <c r="P157" i="3" s="1"/>
  <c r="K139" i="3"/>
  <c r="L139" i="3" s="1"/>
  <c r="K160" i="3"/>
  <c r="P160" i="3" s="1"/>
  <c r="K40" i="3"/>
  <c r="L40" i="3" s="1"/>
  <c r="K151" i="3"/>
  <c r="P151" i="3" s="1"/>
  <c r="K93" i="3"/>
  <c r="L93" i="3" s="1"/>
  <c r="K132" i="3"/>
  <c r="L132" i="3" s="1"/>
  <c r="K133" i="3"/>
  <c r="L133" i="3" s="1"/>
  <c r="K158" i="3"/>
  <c r="P158" i="3" s="1"/>
  <c r="K30" i="3"/>
  <c r="P30" i="3" s="1"/>
  <c r="K163" i="3"/>
  <c r="L163" i="3" s="1"/>
  <c r="K173" i="3"/>
  <c r="P173" i="3" s="1"/>
  <c r="K37" i="3"/>
  <c r="P37" i="3" s="1"/>
  <c r="K161" i="3"/>
  <c r="L161" i="3" s="1"/>
  <c r="K66" i="3"/>
  <c r="P66" i="3" s="1"/>
  <c r="K124" i="3"/>
  <c r="L124" i="3" s="1"/>
  <c r="K100" i="3"/>
  <c r="P100" i="3" s="1"/>
  <c r="K88" i="3"/>
  <c r="L88" i="3" s="1"/>
  <c r="K138" i="3"/>
  <c r="L138" i="3" s="1"/>
  <c r="K172" i="3"/>
  <c r="L172" i="3" s="1"/>
  <c r="K44" i="3"/>
  <c r="P44" i="3" s="1"/>
  <c r="K111" i="3"/>
  <c r="L111" i="3" s="1"/>
  <c r="K63" i="3"/>
  <c r="L63" i="3" s="1"/>
  <c r="K49" i="3"/>
  <c r="L49" i="3" s="1"/>
  <c r="K71" i="3"/>
  <c r="L71" i="3" s="1"/>
  <c r="K95" i="3"/>
  <c r="L95" i="3" s="1"/>
  <c r="K35" i="3"/>
  <c r="L35" i="3" s="1"/>
  <c r="K77" i="3"/>
  <c r="L77" i="3" s="1"/>
  <c r="K101" i="3"/>
  <c r="L101" i="3" s="1"/>
  <c r="K39" i="3"/>
  <c r="L39" i="3" s="1"/>
  <c r="K128" i="3"/>
  <c r="L128" i="3" s="1"/>
  <c r="K176" i="3"/>
  <c r="L176" i="3" s="1"/>
  <c r="K34" i="3"/>
  <c r="L34" i="3" s="1"/>
  <c r="K126" i="3"/>
  <c r="P126" i="3" s="1"/>
  <c r="K55" i="3"/>
  <c r="L55" i="3" s="1"/>
  <c r="K41" i="3"/>
  <c r="P41" i="3" s="1"/>
  <c r="K69" i="3"/>
  <c r="L69" i="3" s="1"/>
  <c r="K59" i="3"/>
  <c r="P59" i="3" s="1"/>
  <c r="K107" i="3"/>
  <c r="L107" i="3" s="1"/>
  <c r="K114" i="3"/>
  <c r="P114" i="3" s="1"/>
  <c r="K51" i="3"/>
  <c r="P51" i="3" s="1"/>
  <c r="K120" i="3"/>
  <c r="P120" i="3" s="1"/>
  <c r="K54" i="3"/>
  <c r="L54" i="3" s="1"/>
  <c r="K65" i="3"/>
  <c r="L65" i="3" s="1"/>
  <c r="K57" i="3"/>
  <c r="L57" i="3" s="1"/>
  <c r="K78" i="3"/>
  <c r="L78" i="3" s="1"/>
  <c r="K68" i="3"/>
  <c r="P68" i="3" s="1"/>
  <c r="K76" i="3"/>
  <c r="L76" i="3" s="1"/>
  <c r="K96" i="3"/>
  <c r="L96" i="3" s="1"/>
  <c r="K98" i="3"/>
  <c r="P98" i="3" s="1"/>
  <c r="K61" i="3"/>
  <c r="L61" i="3" s="1"/>
  <c r="K145" i="3"/>
  <c r="L145" i="3" s="1"/>
  <c r="K105" i="3"/>
  <c r="P105" i="3" s="1"/>
  <c r="K143" i="3"/>
  <c r="P143" i="3" s="1"/>
  <c r="K75" i="3"/>
  <c r="L75" i="3" s="1"/>
  <c r="K29" i="3"/>
  <c r="P29" i="3" s="1"/>
  <c r="K48" i="3"/>
  <c r="L48" i="3" s="1"/>
  <c r="K31" i="3"/>
  <c r="L31" i="3" s="1"/>
  <c r="K97" i="3"/>
  <c r="L97" i="3" s="1"/>
  <c r="K21" i="3"/>
  <c r="L21" i="3" s="1"/>
  <c r="K171" i="3"/>
  <c r="L171" i="3" s="1"/>
  <c r="K147" i="3"/>
  <c r="L147" i="3" s="1"/>
  <c r="K113" i="3"/>
  <c r="L113" i="3" s="1"/>
  <c r="K168" i="3"/>
  <c r="L168" i="3" s="1"/>
  <c r="K84" i="3"/>
  <c r="L84" i="3" s="1"/>
  <c r="K33" i="3"/>
  <c r="L33" i="3" s="1"/>
  <c r="P85" i="3"/>
  <c r="P144" i="3" l="1"/>
  <c r="P99" i="3"/>
  <c r="L160" i="3"/>
  <c r="P112" i="3"/>
  <c r="P46" i="3"/>
  <c r="P50" i="3"/>
  <c r="L137" i="3"/>
  <c r="P56" i="3"/>
  <c r="P32" i="3"/>
  <c r="P150" i="3"/>
  <c r="P81" i="3"/>
  <c r="P36" i="3"/>
  <c r="P90" i="3"/>
  <c r="P87" i="3"/>
  <c r="L80" i="3"/>
  <c r="L91" i="3"/>
  <c r="P166" i="3"/>
  <c r="L116" i="3"/>
  <c r="P168" i="3"/>
  <c r="L173" i="3"/>
  <c r="L103" i="3"/>
  <c r="P110" i="3"/>
  <c r="P27" i="3"/>
  <c r="L122" i="3"/>
  <c r="L62" i="3"/>
  <c r="P135" i="3"/>
  <c r="L169" i="3"/>
  <c r="L67" i="3"/>
  <c r="P161" i="3"/>
  <c r="L141" i="3"/>
  <c r="P129" i="3"/>
  <c r="P113" i="3"/>
  <c r="P136" i="3"/>
  <c r="P73" i="3"/>
  <c r="P107" i="3"/>
  <c r="P128" i="3"/>
  <c r="L102" i="3"/>
  <c r="L156" i="3"/>
  <c r="P101" i="3"/>
  <c r="P24" i="3"/>
  <c r="L175" i="3"/>
  <c r="L98" i="3"/>
  <c r="L146" i="3"/>
  <c r="L120" i="3"/>
  <c r="L83" i="3"/>
  <c r="P159" i="3"/>
  <c r="L142" i="3"/>
  <c r="P165" i="3"/>
  <c r="L22" i="3"/>
  <c r="P64" i="3"/>
  <c r="P149" i="3"/>
  <c r="P139" i="3"/>
  <c r="L118" i="3"/>
  <c r="P125" i="3"/>
  <c r="L41" i="3"/>
  <c r="P49" i="3"/>
  <c r="L30" i="3"/>
  <c r="L162" i="3"/>
  <c r="P60" i="3"/>
  <c r="L52" i="3"/>
  <c r="P21" i="3"/>
  <c r="L126" i="3"/>
  <c r="P172" i="3"/>
  <c r="P133" i="3"/>
  <c r="P42" i="3"/>
  <c r="L29" i="3"/>
  <c r="P88" i="3"/>
  <c r="P124" i="3"/>
  <c r="P45" i="3"/>
  <c r="P65" i="3"/>
  <c r="P77" i="3"/>
  <c r="L109" i="3"/>
  <c r="P153" i="3"/>
  <c r="L70" i="3"/>
  <c r="P58" i="3"/>
  <c r="P33" i="3"/>
  <c r="L114" i="3"/>
  <c r="L89" i="3"/>
  <c r="L148" i="3"/>
  <c r="P23" i="3"/>
  <c r="P152" i="3"/>
  <c r="P25" i="3"/>
  <c r="P108" i="3"/>
  <c r="P78" i="3"/>
  <c r="P34" i="3"/>
  <c r="P154" i="3"/>
  <c r="P39" i="3"/>
  <c r="P71" i="3"/>
  <c r="P147" i="3"/>
  <c r="P26" i="3"/>
  <c r="L130" i="3"/>
  <c r="P111" i="3"/>
  <c r="L121" i="3"/>
  <c r="L106" i="3"/>
  <c r="P48" i="3"/>
  <c r="L59" i="3"/>
  <c r="P28" i="3"/>
  <c r="L105" i="3"/>
  <c r="P47" i="3"/>
  <c r="L158" i="3"/>
  <c r="P92" i="3"/>
  <c r="P115" i="3"/>
  <c r="L79" i="3"/>
  <c r="P96" i="3"/>
  <c r="L51" i="3"/>
  <c r="L74" i="3"/>
  <c r="L134" i="3"/>
  <c r="P171" i="3"/>
  <c r="L157" i="3"/>
  <c r="P170" i="3"/>
  <c r="P127" i="3"/>
  <c r="L131" i="3"/>
  <c r="L72" i="3"/>
  <c r="P84" i="3"/>
  <c r="P57" i="3"/>
  <c r="P69" i="3"/>
  <c r="P43" i="3"/>
  <c r="P75" i="3"/>
  <c r="P76" i="3"/>
  <c r="P176" i="3"/>
  <c r="L86" i="3"/>
  <c r="L167" i="3"/>
  <c r="P155" i="3"/>
  <c r="L123" i="3"/>
  <c r="P40" i="3"/>
  <c r="P104" i="3"/>
  <c r="P82" i="3"/>
  <c r="L174" i="3"/>
  <c r="P145" i="3"/>
  <c r="L68" i="3"/>
  <c r="P38" i="3"/>
  <c r="L66" i="3"/>
  <c r="P132" i="3"/>
  <c r="L53" i="3"/>
  <c r="P164" i="3"/>
  <c r="L140" i="3"/>
  <c r="P63" i="3"/>
  <c r="P117" i="3"/>
  <c r="L94" i="3"/>
  <c r="P31" i="3"/>
  <c r="L143" i="3"/>
  <c r="L100" i="3"/>
  <c r="L151" i="3"/>
  <c r="P95" i="3"/>
  <c r="P93" i="3"/>
  <c r="P97" i="3"/>
  <c r="P61" i="3"/>
  <c r="L44" i="3"/>
  <c r="L37" i="3"/>
  <c r="P119" i="3"/>
  <c r="P54" i="3"/>
  <c r="P55" i="3"/>
  <c r="P35" i="3"/>
  <c r="P138" i="3"/>
  <c r="P163" i="3"/>
  <c r="L18" i="3"/>
  <c r="E7" i="3" l="1"/>
  <c r="F5" i="3" s="1"/>
  <c r="H5" i="3" s="1"/>
  <c r="F8" i="3"/>
  <c r="F4" i="3" l="1"/>
  <c r="H4" i="3" s="1"/>
  <c r="F6" i="3"/>
  <c r="H6" i="3" s="1"/>
  <c r="F9" i="3" s="1"/>
  <c r="G9" i="3"/>
</calcChain>
</file>

<file path=xl/sharedStrings.xml><?xml version="1.0" encoding="utf-8"?>
<sst xmlns="http://schemas.openxmlformats.org/spreadsheetml/2006/main" count="2201" uniqueCount="1019">
  <si>
    <t>IU Per / gsc 2858-2564</t>
  </si>
  <si>
    <t>System Type:</t>
  </si>
  <si>
    <t>10.5 - 11.6</t>
  </si>
  <si>
    <t>A4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</si>
  <si>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</si>
  <si>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</si>
  <si>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</si>
  <si>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</si>
  <si>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</si>
  <si>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</si>
  <si>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</si>
  <si>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</si>
  <si>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</si>
  <si>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</si>
  <si>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</si>
  <si>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</si>
  <si>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</si>
  <si>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</si>
  <si>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</si>
  <si>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</si>
  <si>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</si>
  <si>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</si>
  <si>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</si>
  <si>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</si>
  <si>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</si>
  <si>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</si>
  <si>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</si>
  <si>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</si>
  <si>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</si>
  <si>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</si>
  <si>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</si>
  <si>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</si>
  <si>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</si>
  <si>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</si>
  <si>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</si>
  <si>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</si>
  <si>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</si>
  <si>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</si>
  <si>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S6</t>
  </si>
  <si>
    <t>Misc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</si>
  <si>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</si>
  <si>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</si>
  <si>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</si>
  <si>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</si>
  <si>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BAD?</t>
  </si>
  <si>
    <t>W.Reim KVB 17.3</t>
  </si>
  <si>
    <t>E.Geyer et al. KVB 11.5</t>
  </si>
  <si>
    <t>W.Zessewitsch AC 170.12</t>
  </si>
  <si>
    <t>W.Zessewitsch AC 174.18</t>
  </si>
  <si>
    <t>BBSAG Bull...26</t>
  </si>
  <si>
    <t>R.Diethelm ORI 121</t>
  </si>
  <si>
    <t>BBSAG Bull.1</t>
  </si>
  <si>
    <t>BBSAG Bull.17</t>
  </si>
  <si>
    <t>BBSAG Bull.19</t>
  </si>
  <si>
    <t>BBSAG Bull.20</t>
  </si>
  <si>
    <t>BBSAG Bull.21</t>
  </si>
  <si>
    <t> AOEB 11 </t>
  </si>
  <si>
    <t>I</t>
  </si>
  <si>
    <t>BAAVSS 59,16</t>
  </si>
  <si>
    <t>BRNO 26</t>
  </si>
  <si>
    <t>BAAVSS 60,15</t>
  </si>
  <si>
    <t>BBSAG Bull.62</t>
  </si>
  <si>
    <t>BBSAG Bull.64</t>
  </si>
  <si>
    <t>BBSAG Bull.65</t>
  </si>
  <si>
    <t>BBSAG Bull.69</t>
  </si>
  <si>
    <t>GCVS 4</t>
  </si>
  <si>
    <t>T.Brelstaff VSSC 60.22</t>
  </si>
  <si>
    <t>BERNO 26</t>
  </si>
  <si>
    <t>BBSAG Bull.71</t>
  </si>
  <si>
    <t>BAAVSS 61,14</t>
  </si>
  <si>
    <t>BRNO 27</t>
  </si>
  <si>
    <t>BBSAG Bull.74</t>
  </si>
  <si>
    <t>T.Brelstaff VSSC 61/73</t>
  </si>
  <si>
    <t>BBSAG Bull.76</t>
  </si>
  <si>
    <t>T.Brelstaff VSSC 68.33</t>
  </si>
  <si>
    <t>BBSAG Bull.77</t>
  </si>
  <si>
    <t> BRNO 27 </t>
  </si>
  <si>
    <t>BBSAG Bull.79</t>
  </si>
  <si>
    <t>BBSAG Bull.78</t>
  </si>
  <si>
    <t>BBSAG 79</t>
  </si>
  <si>
    <t>BRNO 28</t>
  </si>
  <si>
    <t>BBSAG Bull.81</t>
  </si>
  <si>
    <t>BBSAG Bull.82</t>
  </si>
  <si>
    <t>BBSAG Bull.83</t>
  </si>
  <si>
    <t>BRNO 30</t>
  </si>
  <si>
    <t>BBSAG Bull.86</t>
  </si>
  <si>
    <t>BBSAG Bull.88</t>
  </si>
  <si>
    <t>BBSAG Bull.87</t>
  </si>
  <si>
    <t>BBSAG Bull.90</t>
  </si>
  <si>
    <t>BAV-M 56</t>
  </si>
  <si>
    <t>BBSAG Bull.91</t>
  </si>
  <si>
    <t>BBSAG Bull.93</t>
  </si>
  <si>
    <t>BAVM 56 </t>
  </si>
  <si>
    <t>BBSAG Bull.94</t>
  </si>
  <si>
    <t>BRNO 31</t>
  </si>
  <si>
    <t>BBSAG Bull.96</t>
  </si>
  <si>
    <t>IBVS 4097</t>
  </si>
  <si>
    <t>BBSAG Bull.100</t>
  </si>
  <si>
    <t>BBSAG Bull.101</t>
  </si>
  <si>
    <t>BBSAG Bull.102</t>
  </si>
  <si>
    <t>BBSAG Bull.103</t>
  </si>
  <si>
    <t>BBSAG Bull.105</t>
  </si>
  <si>
    <t>BBSAG Bull.108</t>
  </si>
  <si>
    <t>BBSAG Bull.110</t>
  </si>
  <si>
    <t>J.Zahajsky BRNO 32</t>
  </si>
  <si>
    <t>R.Polloczek BRNO 32</t>
  </si>
  <si>
    <t>BBSAG Bull.114</t>
  </si>
  <si>
    <t>A.Dedoch BRNO 32</t>
  </si>
  <si>
    <t>J.Borovicka BRNO 32</t>
  </si>
  <si>
    <t>T.Kohout BRNO 32</t>
  </si>
  <si>
    <t>J.Cechal BRNO 32</t>
  </si>
  <si>
    <t>BBSAG Bull.116</t>
  </si>
  <si>
    <t>BAV-M 113</t>
  </si>
  <si>
    <t>BBSAG Bull.117</t>
  </si>
  <si>
    <t>IBVS 5296</t>
  </si>
  <si>
    <t>VSB 40 </t>
  </si>
  <si>
    <t>Dvorak 2002</t>
  </si>
  <si>
    <t>M.Dietrich BAVM 152</t>
  </si>
  <si>
    <t>OEJV 0074</t>
  </si>
  <si>
    <t>OEJV 0074 </t>
  </si>
  <si>
    <t>IBVS 5643</t>
  </si>
  <si>
    <t>IBVS 5592</t>
  </si>
  <si>
    <t>IBVS 5657</t>
  </si>
  <si>
    <t>IBVS 5616</t>
  </si>
  <si>
    <t>IBVS 5741</t>
  </si>
  <si>
    <t>VSB 44 </t>
  </si>
  <si>
    <t>IBVS 5731</t>
  </si>
  <si>
    <t>II</t>
  </si>
  <si>
    <t>IBVS 5677</t>
  </si>
  <si>
    <t>CCD+I</t>
  </si>
  <si>
    <t> AOEB 12 </t>
  </si>
  <si>
    <t>OEJV 0107 </t>
  </si>
  <si>
    <t>OEJV 0107</t>
  </si>
  <si>
    <t>IBVS 5820</t>
  </si>
  <si>
    <t>IBVS 5897</t>
  </si>
  <si>
    <t>BAVM 193 </t>
  </si>
  <si>
    <t>IBVS 5933</t>
  </si>
  <si>
    <t>JAVSO..36..186</t>
  </si>
  <si>
    <t>OEJV 0094 </t>
  </si>
  <si>
    <t>OEJV 0094</t>
  </si>
  <si>
    <t>JAVSO..37...44</t>
  </si>
  <si>
    <t>IBVS 5918</t>
  </si>
  <si>
    <t>JAVSO..38...85</t>
  </si>
  <si>
    <t>JAVSO..38..183</t>
  </si>
  <si>
    <t>IBVS 5920</t>
  </si>
  <si>
    <t>JAVSO..39..177</t>
  </si>
  <si>
    <t>IBVS 6070</t>
  </si>
  <si>
    <t>BAVM 225 </t>
  </si>
  <si>
    <t>IBVS 6230</t>
  </si>
  <si>
    <t>IBVS 6011</t>
  </si>
  <si>
    <t>VSB 53 </t>
  </si>
  <si>
    <t>IBVS 6084</t>
  </si>
  <si>
    <t> JAAVSO 41;122 </t>
  </si>
  <si>
    <t>JAVSO..41..122</t>
  </si>
  <si>
    <t>IBVS 6042</t>
  </si>
  <si>
    <t>JAVSO..42..426</t>
  </si>
  <si>
    <t> JAAVSO 43-1 </t>
  </si>
  <si>
    <t>JAVSO..43…77</t>
  </si>
  <si>
    <t>JAVSO 43, 77</t>
  </si>
  <si>
    <t>JAVSO..43..238</t>
  </si>
  <si>
    <t>IBVS 6196</t>
  </si>
  <si>
    <t>IBVS 6209</t>
  </si>
  <si>
    <t>JAVSO..45..121</t>
  </si>
  <si>
    <t>VSB-64</t>
  </si>
  <si>
    <t>Rc</t>
  </si>
  <si>
    <t>JAVSO..46…79 (2018)</t>
  </si>
  <si>
    <t>JAVSO..47..105</t>
  </si>
  <si>
    <t>JAVSO..46..184</t>
  </si>
  <si>
    <t>JAVSO..48…87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</si>
  <si>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</si>
  <si>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</si>
  <si>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</si>
  <si>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</si>
  <si>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</si>
  <si>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</si>
  <si>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</si>
  <si>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</si>
  <si>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2426672.462 </t>
  </si>
  <si>
    <t> 26.11.1931 23:05 </t>
  </si>
  <si>
    <t> -0.005 </t>
  </si>
  <si>
    <t>P </t>
  </si>
  <si>
    <t> W.Reim </t>
  </si>
  <si>
    <t> KVB 17.3 </t>
  </si>
  <si>
    <t>2426987.413 </t>
  </si>
  <si>
    <t> 06.10.1932 21:54 </t>
  </si>
  <si>
    <t> -0.011 </t>
  </si>
  <si>
    <t>2428078.433 </t>
  </si>
  <si>
    <t> 02.10.1935 22:23 </t>
  </si>
  <si>
    <t> 0.016 </t>
  </si>
  <si>
    <t> E.Geyer et al. </t>
  </si>
  <si>
    <t> KVB 11.5 </t>
  </si>
  <si>
    <t>2428211.260 </t>
  </si>
  <si>
    <t> 12.02.1936 18:14 </t>
  </si>
  <si>
    <t> 0.005 </t>
  </si>
  <si>
    <t>2429163.428 </t>
  </si>
  <si>
    <t> 21.09.1938 22:16 </t>
  </si>
  <si>
    <t> 0.018 </t>
  </si>
  <si>
    <t>2429193.364 </t>
  </si>
  <si>
    <t> 21.10.1938 20:44 </t>
  </si>
  <si>
    <t> -0.042 </t>
  </si>
  <si>
    <t>2433898.493 </t>
  </si>
  <si>
    <t> 08.09.1951 23:49 </t>
  </si>
  <si>
    <t> 0.019 </t>
  </si>
  <si>
    <t> W.Zessewitsch </t>
  </si>
  <si>
    <t> AC 170.12 </t>
  </si>
  <si>
    <t>2433922.410 </t>
  </si>
  <si>
    <t> 02.10.1951 21:50 </t>
  </si>
  <si>
    <t> -0.061 </t>
  </si>
  <si>
    <t>2433946.460 </t>
  </si>
  <si>
    <t> 26.10.1951 23:02 </t>
  </si>
  <si>
    <t> -0.007 </t>
  </si>
  <si>
    <t>2434683.470 </t>
  </si>
  <si>
    <t> 01.11.1953 23:16 </t>
  </si>
  <si>
    <t> -0.039 </t>
  </si>
  <si>
    <t>2435372.556 </t>
  </si>
  <si>
    <t> 22.09.1955 01:20 </t>
  </si>
  <si>
    <t> -0.001 </t>
  </si>
  <si>
    <t>2435702.516 </t>
  </si>
  <si>
    <t> 17.08.1956 00:23 </t>
  </si>
  <si>
    <t> 0.004 </t>
  </si>
  <si>
    <t>V </t>
  </si>
  <si>
    <t> AC 174.18 </t>
  </si>
  <si>
    <t>2435703.353 </t>
  </si>
  <si>
    <t> 17.08.1956 20:28 </t>
  </si>
  <si>
    <t> -0.016 </t>
  </si>
  <si>
    <t>2440839.458 </t>
  </si>
  <si>
    <t> 09.09.1970 22:59 </t>
  </si>
  <si>
    <t> -0.062 </t>
  </si>
  <si>
    <t> R.Diethelm </t>
  </si>
  <si>
    <t> ORI 121 </t>
  </si>
  <si>
    <t>2441308.300 </t>
  </si>
  <si>
    <t> 22.12.1971 19:12 </t>
  </si>
  <si>
    <t> -0.013 </t>
  </si>
  <si>
    <t> BBS 1 </t>
  </si>
  <si>
    <t>2442289.592 </t>
  </si>
  <si>
    <t> 30.08.1974 02:12 </t>
  </si>
  <si>
    <t> -0.015 </t>
  </si>
  <si>
    <t> BBS 17 </t>
  </si>
  <si>
    <t>2442405.294 </t>
  </si>
  <si>
    <t> 23.12.1974 19:03 </t>
  </si>
  <si>
    <t> BBS 19 </t>
  </si>
  <si>
    <t>2442416.420 </t>
  </si>
  <si>
    <t> 03.01.1975 22:04 </t>
  </si>
  <si>
    <t> -0.026 </t>
  </si>
  <si>
    <t> K.Locher </t>
  </si>
  <si>
    <t> BBS 20 </t>
  </si>
  <si>
    <t>2442416.427 </t>
  </si>
  <si>
    <t> 03.01.1975 22:14 </t>
  </si>
  <si>
    <t> -0.019 </t>
  </si>
  <si>
    <t>2442417.274 </t>
  </si>
  <si>
    <t> 04.01.1975 18:34 </t>
  </si>
  <si>
    <t> -0.029 </t>
  </si>
  <si>
    <t>2442417.280 </t>
  </si>
  <si>
    <t> 04.01.1975 18:43 </t>
  </si>
  <si>
    <t> -0.023 </t>
  </si>
  <si>
    <t>2442453.268 </t>
  </si>
  <si>
    <t> 09.02.1975 18:25 </t>
  </si>
  <si>
    <t> -0.031 </t>
  </si>
  <si>
    <t> BBS 21 </t>
  </si>
  <si>
    <t>2442464.418 </t>
  </si>
  <si>
    <t> 20.02.1975 22:01 </t>
  </si>
  <si>
    <t> -0.022 </t>
  </si>
  <si>
    <t>2444843.549 </t>
  </si>
  <si>
    <t> 27.08.1981 01:10 </t>
  </si>
  <si>
    <t> 0.007 </t>
  </si>
  <si>
    <t> T.Brelstaff </t>
  </si>
  <si>
    <t> VSSC 59.19 </t>
  </si>
  <si>
    <t>2444874.405 </t>
  </si>
  <si>
    <t> 26.09.1981 21:43 </t>
  </si>
  <si>
    <t> 0.011 </t>
  </si>
  <si>
    <t>2444885.528 </t>
  </si>
  <si>
    <t> 08.10.1981 00:40 </t>
  </si>
  <si>
    <t> -0.008 </t>
  </si>
  <si>
    <t> J.Silhan </t>
  </si>
  <si>
    <t> BRNO 26 </t>
  </si>
  <si>
    <t>2444970.384 </t>
  </si>
  <si>
    <t> 31.12.1981 21:12 </t>
  </si>
  <si>
    <t> 0.003 </t>
  </si>
  <si>
    <t>2444982.368 </t>
  </si>
  <si>
    <t> 12.01.1982 20:49 </t>
  </si>
  <si>
    <t> -0.012 </t>
  </si>
  <si>
    <t> VSSC 60.22 </t>
  </si>
  <si>
    <t>2445012.368 </t>
  </si>
  <si>
    <t> 11.02.1982 20:49 </t>
  </si>
  <si>
    <t>2445191.484 </t>
  </si>
  <si>
    <t> 09.08.1982 23:36 </t>
  </si>
  <si>
    <t> -0.010 </t>
  </si>
  <si>
    <t>2445240.339 </t>
  </si>
  <si>
    <t> 27.09.1982 20:08 </t>
  </si>
  <si>
    <t> BBS 62 </t>
  </si>
  <si>
    <t>2445240.345 </t>
  </si>
  <si>
    <t> 27.09.1982 20:16 </t>
  </si>
  <si>
    <t> 0.001 </t>
  </si>
  <si>
    <t> M.Kohl </t>
  </si>
  <si>
    <t>2445240.360 </t>
  </si>
  <si>
    <t> 27.09.1982 20:38 </t>
  </si>
  <si>
    <t> R.Germann </t>
  </si>
  <si>
    <t>2445282.320 </t>
  </si>
  <si>
    <t> 08.11.1982 19:40 </t>
  </si>
  <si>
    <t> -0.018 </t>
  </si>
  <si>
    <t> G.Mavrofridis </t>
  </si>
  <si>
    <t> BBS 64 </t>
  </si>
  <si>
    <t>2445288.356 </t>
  </si>
  <si>
    <t> 14.11.1982 20:32 </t>
  </si>
  <si>
    <t>2445294.318 </t>
  </si>
  <si>
    <t> 20.11.1982 19:37 </t>
  </si>
  <si>
    <t>2445294.349 </t>
  </si>
  <si>
    <t> 20.11.1982 20:22 </t>
  </si>
  <si>
    <t> 0.012 </t>
  </si>
  <si>
    <t>2445342.347 </t>
  </si>
  <si>
    <t> 07.01.1983 20:19 </t>
  </si>
  <si>
    <t> 0.017 </t>
  </si>
  <si>
    <t> H.Peter </t>
  </si>
  <si>
    <t>2445402.324 </t>
  </si>
  <si>
    <t> 08.03.1983 19:46 </t>
  </si>
  <si>
    <t> 0.002 </t>
  </si>
  <si>
    <t> BBS 65 </t>
  </si>
  <si>
    <t>2445402.332 </t>
  </si>
  <si>
    <t> 08.03.1983 19:58 </t>
  </si>
  <si>
    <t> 0.010 </t>
  </si>
  <si>
    <t>2445611.436 </t>
  </si>
  <si>
    <t> 03.10.1983 22:27 </t>
  </si>
  <si>
    <t> 0.000 </t>
  </si>
  <si>
    <t> BBS 69 </t>
  </si>
  <si>
    <t>2445635.433 </t>
  </si>
  <si>
    <t> 27.10.1983 22:23 </t>
  </si>
  <si>
    <t>2445641.431 </t>
  </si>
  <si>
    <t> 02.11.1983 22:20 </t>
  </si>
  <si>
    <t>2445642.274 </t>
  </si>
  <si>
    <t> 03.11.1983 18:34 </t>
  </si>
  <si>
    <t>2445646.564 </t>
  </si>
  <si>
    <t> 08.11.1983 01:32 </t>
  </si>
  <si>
    <t>2445671.405 </t>
  </si>
  <si>
    <t> 02.12.1983 21:43 </t>
  </si>
  <si>
    <t> P.Lutcha </t>
  </si>
  <si>
    <t>2445671.419 </t>
  </si>
  <si>
    <t> 02.12.1983 22:03 </t>
  </si>
  <si>
    <t> -0.009 </t>
  </si>
  <si>
    <t>2445672.285 </t>
  </si>
  <si>
    <t> 03.12.1983 18:50 </t>
  </si>
  <si>
    <t>2445678.303 </t>
  </si>
  <si>
    <t> 09.12.1983 19:16 </t>
  </si>
  <si>
    <t> BBS 71 </t>
  </si>
  <si>
    <t>2445731.427 </t>
  </si>
  <si>
    <t> 31.01.1984 22:14 </t>
  </si>
  <si>
    <t> VSSC 61.19 </t>
  </si>
  <si>
    <t>2445750.265 </t>
  </si>
  <si>
    <t> 19.02.1984 18:21 </t>
  </si>
  <si>
    <t>2445940.528 </t>
  </si>
  <si>
    <t> 28.08.1984 00:40 </t>
  </si>
  <si>
    <t> -0.006 </t>
  </si>
  <si>
    <t> J.Borovicka </t>
  </si>
  <si>
    <t>2445940.534 </t>
  </si>
  <si>
    <t> 28.08.1984 00:48 </t>
  </si>
  <si>
    <t> P.Suchan </t>
  </si>
  <si>
    <t>2445940.545 </t>
  </si>
  <si>
    <t> 28.08.1984 01:04 </t>
  </si>
  <si>
    <t> BBS 74 </t>
  </si>
  <si>
    <t>2445946.541 </t>
  </si>
  <si>
    <t> 03.09.1984 00:59 </t>
  </si>
  <si>
    <t> 0.008 </t>
  </si>
  <si>
    <t>2445994.523 </t>
  </si>
  <si>
    <t> 21.10.1984 00:33 </t>
  </si>
  <si>
    <t> -0.003 </t>
  </si>
  <si>
    <t> P.Svoboda </t>
  </si>
  <si>
    <t>2446036.517 </t>
  </si>
  <si>
    <t> 02.12.1984 00:24 </t>
  </si>
  <si>
    <t>2446036.526 </t>
  </si>
  <si>
    <t> 02.12.1984 00:37 </t>
  </si>
  <si>
    <t> 0.006 </t>
  </si>
  <si>
    <t> V.Kolar </t>
  </si>
  <si>
    <t>2446061.379 </t>
  </si>
  <si>
    <t> 26.12.1984 21:05 </t>
  </si>
  <si>
    <t> VSSC 61/73 </t>
  </si>
  <si>
    <t>2446091.380 </t>
  </si>
  <si>
    <t> 25.01.1985 21:07 </t>
  </si>
  <si>
    <t> G.Mavrrofridis </t>
  </si>
  <si>
    <t> BBS 76 </t>
  </si>
  <si>
    <t>2446109.381 </t>
  </si>
  <si>
    <t> 12.02.1985 21:08 </t>
  </si>
  <si>
    <t> 0.013 </t>
  </si>
  <si>
    <t> VSSC 68.33 </t>
  </si>
  <si>
    <t>2446115.370 </t>
  </si>
  <si>
    <t> 18.02.1985 20:52 </t>
  </si>
  <si>
    <t> A.Paschke </t>
  </si>
  <si>
    <t>2446121.359 </t>
  </si>
  <si>
    <t> 24.02.1985 20:36 </t>
  </si>
  <si>
    <t>2446121.380 </t>
  </si>
  <si>
    <t> 24.02.1985 21:07 </t>
  </si>
  <si>
    <t> 0.014 </t>
  </si>
  <si>
    <t>2446270.500 </t>
  </si>
  <si>
    <t> 24.07.1985 00:00 </t>
  </si>
  <si>
    <t> BBS 77 </t>
  </si>
  <si>
    <t>2446294.473 </t>
  </si>
  <si>
    <t> 16.08.1985 23:21 </t>
  </si>
  <si>
    <t>2446294.484 </t>
  </si>
  <si>
    <t> 16.08.1985 23:36 </t>
  </si>
  <si>
    <t> T.Cervinka </t>
  </si>
  <si>
    <t>2446349.353 </t>
  </si>
  <si>
    <t> 10.10.1985 20:28 </t>
  </si>
  <si>
    <t> BBS 79 </t>
  </si>
  <si>
    <t>2446355.340 </t>
  </si>
  <si>
    <t> 16.10.1985 20:09 </t>
  </si>
  <si>
    <t> BBS 78 </t>
  </si>
  <si>
    <t>2446373.337 </t>
  </si>
  <si>
    <t> 03.11.1985 20:05 </t>
  </si>
  <si>
    <t>2446403.329 </t>
  </si>
  <si>
    <t> 03.12.1985 19:53 </t>
  </si>
  <si>
    <t>2446457.310 </t>
  </si>
  <si>
    <t> 26.01.1986 19:26 </t>
  </si>
  <si>
    <t>2446672.430 </t>
  </si>
  <si>
    <t> 29.08.1986 22:19 </t>
  </si>
  <si>
    <t> BRNO 28 </t>
  </si>
  <si>
    <t>2446684.438 </t>
  </si>
  <si>
    <t> 10.09.1986 22:30 </t>
  </si>
  <si>
    <t>2446708.441 </t>
  </si>
  <si>
    <t> 04.10.1986 22:35 </t>
  </si>
  <si>
    <t> BBS 81 </t>
  </si>
  <si>
    <t>2446762.429 </t>
  </si>
  <si>
    <t> 27.11.1986 22:17 </t>
  </si>
  <si>
    <t> BBS 82 </t>
  </si>
  <si>
    <t>2446817.272 </t>
  </si>
  <si>
    <t> 21.01.1987 18:31 </t>
  </si>
  <si>
    <t> BBS 83 </t>
  </si>
  <si>
    <t>2447025.517 </t>
  </si>
  <si>
    <t> 18.08.1987 00:24 </t>
  </si>
  <si>
    <t> R.Pleskac </t>
  </si>
  <si>
    <t> BRNO 30 </t>
  </si>
  <si>
    <t>2447025.522 </t>
  </si>
  <si>
    <t> 18.08.1987 00:31 </t>
  </si>
  <si>
    <t> M.Zejda </t>
  </si>
  <si>
    <t>2447031.526 </t>
  </si>
  <si>
    <t> 24.08.1987 00:37 </t>
  </si>
  <si>
    <t> O.Santolik </t>
  </si>
  <si>
    <t>2447031.527 </t>
  </si>
  <si>
    <t> 24.08.1987 00:38 </t>
  </si>
  <si>
    <t> O.Väter </t>
  </si>
  <si>
    <t>2447031.536 </t>
  </si>
  <si>
    <t> 24.08.1987 00:51 </t>
  </si>
  <si>
    <t> 0.009 </t>
  </si>
  <si>
    <t> O.Beck </t>
  </si>
  <si>
    <t>2447068.385 </t>
  </si>
  <si>
    <t> 29.09.1987 21:14 </t>
  </si>
  <si>
    <t> BBS 86 </t>
  </si>
  <si>
    <t>2447092.362 </t>
  </si>
  <si>
    <t> 23.10.1987 20:41 </t>
  </si>
  <si>
    <t>2447128.382 </t>
  </si>
  <si>
    <t> 28.11.1987 21:10 </t>
  </si>
  <si>
    <t> BBS 88 </t>
  </si>
  <si>
    <t>2447159.236 </t>
  </si>
  <si>
    <t> 29.12.1987 17:39 </t>
  </si>
  <si>
    <t> E.Blättler </t>
  </si>
  <si>
    <t> BBS 87 </t>
  </si>
  <si>
    <t>2447170.379 </t>
  </si>
  <si>
    <t> 09.01.1988 21:05 </t>
  </si>
  <si>
    <t>2447206.372 </t>
  </si>
  <si>
    <t> 14.02.1988 20:55 </t>
  </si>
  <si>
    <t>2447212.370 </t>
  </si>
  <si>
    <t> 20.02.1988 20:52 </t>
  </si>
  <si>
    <t>2447439.486 </t>
  </si>
  <si>
    <t> 04.10.1988 23:39 </t>
  </si>
  <si>
    <t> 0.015 </t>
  </si>
  <si>
    <t> O.Rehacek </t>
  </si>
  <si>
    <t>2447452.330 </t>
  </si>
  <si>
    <t> 17.10.1988 19:55 </t>
  </si>
  <si>
    <t> BBS 90 </t>
  </si>
  <si>
    <t>2447452.342 </t>
  </si>
  <si>
    <t> 17.10.1988 20:12 </t>
  </si>
  <si>
    <t>2447469.459 </t>
  </si>
  <si>
    <t> 03.11.1988 23:00 </t>
  </si>
  <si>
    <t>F </t>
  </si>
  <si>
    <t> Moschner&amp;Kleikamp </t>
  </si>
  <si>
    <t>2447470.319 </t>
  </si>
  <si>
    <t> 04.11.1988 19:39 </t>
  </si>
  <si>
    <t> -0.004 </t>
  </si>
  <si>
    <t> V.Wagner </t>
  </si>
  <si>
    <t>2447470.323 </t>
  </si>
  <si>
    <t> 04.11.1988 19:45 </t>
  </si>
  <si>
    <t> -0.000 </t>
  </si>
  <si>
    <t> A.Dedoch </t>
  </si>
  <si>
    <t>2447481.468 </t>
  </si>
  <si>
    <t> 15.11.1988 23:13 </t>
  </si>
  <si>
    <t>2447524.326 </t>
  </si>
  <si>
    <t> 28.12.1988 19:49 </t>
  </si>
  <si>
    <t> BBS 91 </t>
  </si>
  <si>
    <t>2447530.355 </t>
  </si>
  <si>
    <t> 03.01.1989 20:31 </t>
  </si>
  <si>
    <t> 0.040 </t>
  </si>
  <si>
    <t>2447553.478 </t>
  </si>
  <si>
    <t> 26.01.1989 23:28 </t>
  </si>
  <si>
    <t> 0.023 </t>
  </si>
  <si>
    <t>2447554.326 </t>
  </si>
  <si>
    <t> 27.01.1989 19:49 </t>
  </si>
  <si>
    <t>2447566.305 </t>
  </si>
  <si>
    <t> 08.02.1989 19:19 </t>
  </si>
  <si>
    <t>2447590.311 </t>
  </si>
  <si>
    <t> 04.03.1989 19:27 </t>
  </si>
  <si>
    <t>2447805.432 </t>
  </si>
  <si>
    <t> 05.10.1989 22:22 </t>
  </si>
  <si>
    <t> BBS 93 </t>
  </si>
  <si>
    <t>2447847.421 </t>
  </si>
  <si>
    <t> 16.11.1989 22:06 </t>
  </si>
  <si>
    <t>2447860.270 </t>
  </si>
  <si>
    <t> 29.11.1989 18:28 </t>
  </si>
  <si>
    <t>2447895.410 </t>
  </si>
  <si>
    <t> 03.01.1990 21:50 </t>
  </si>
  <si>
    <t> BBS 94 </t>
  </si>
  <si>
    <t>2447914.290 </t>
  </si>
  <si>
    <t> 22.01.1990 18:57 </t>
  </si>
  <si>
    <t> 0.028 </t>
  </si>
  <si>
    <t>2447919.398 </t>
  </si>
  <si>
    <t> 27.01.1990 21:33 </t>
  </si>
  <si>
    <t> F.Hroch </t>
  </si>
  <si>
    <t> BRNO 31 </t>
  </si>
  <si>
    <t>2447932.278 </t>
  </si>
  <si>
    <t> 09.02.1990 18:40 </t>
  </si>
  <si>
    <t>2447943.387 </t>
  </si>
  <si>
    <t> 20.02.1990 21:17 </t>
  </si>
  <si>
    <t> -0.014 </t>
  </si>
  <si>
    <t> J.Csipes </t>
  </si>
  <si>
    <t> Z.Egyhazi </t>
  </si>
  <si>
    <t>2447944.287 </t>
  </si>
  <si>
    <t> 21.02.1990 18:53 </t>
  </si>
  <si>
    <t> 0.029 </t>
  </si>
  <si>
    <t>2448189.385 </t>
  </si>
  <si>
    <t> 24.10.1990 21:14 </t>
  </si>
  <si>
    <t> BBS 96 </t>
  </si>
  <si>
    <t>2448512.484 </t>
  </si>
  <si>
    <t> 12.09.1991 23:36 </t>
  </si>
  <si>
    <t> E.Safarova </t>
  </si>
  <si>
    <t>2448567.3224 </t>
  </si>
  <si>
    <t> 06.11.1991 19:44 </t>
  </si>
  <si>
    <t> 0.0068 </t>
  </si>
  <si>
    <t>E </t>
  </si>
  <si>
    <t>B</t>
  </si>
  <si>
    <t> D.Hanzl </t>
  </si>
  <si>
    <t>IBVS 4097 </t>
  </si>
  <si>
    <t>2448567.3239 </t>
  </si>
  <si>
    <t> 06.11.1991 19:46 </t>
  </si>
  <si>
    <t> 0.0083 </t>
  </si>
  <si>
    <t>U</t>
  </si>
  <si>
    <t>2448567.3246 </t>
  </si>
  <si>
    <t> 06.11.1991 19:47 </t>
  </si>
  <si>
    <t> 0.0090 </t>
  </si>
  <si>
    <t>G</t>
  </si>
  <si>
    <t>2448621.337 </t>
  </si>
  <si>
    <t> 30.12.1991 20:05 </t>
  </si>
  <si>
    <t> BBS 100 </t>
  </si>
  <si>
    <t>2448651.325 </t>
  </si>
  <si>
    <t> 29.01.1992 19:48 </t>
  </si>
  <si>
    <t> 0.021 </t>
  </si>
  <si>
    <t>2448699.317 </t>
  </si>
  <si>
    <t> 17.03.1992 19:36 </t>
  </si>
  <si>
    <t> 0.020 </t>
  </si>
  <si>
    <t> BBS 101 </t>
  </si>
  <si>
    <t>2448860.433 </t>
  </si>
  <si>
    <t> 25.08.1992 22:23 </t>
  </si>
  <si>
    <t> BBS 102 </t>
  </si>
  <si>
    <t>2448872.432 </t>
  </si>
  <si>
    <t> 06.09.1992 22:22 </t>
  </si>
  <si>
    <t>2449005.267 </t>
  </si>
  <si>
    <t> 17.01.1993 18:24 </t>
  </si>
  <si>
    <t> BBS 103 </t>
  </si>
  <si>
    <t>2449250.369 </t>
  </si>
  <si>
    <t> 19.09.1993 20:51 </t>
  </si>
  <si>
    <t> BBS 105 </t>
  </si>
  <si>
    <t>2449688.322 </t>
  </si>
  <si>
    <t> 01.12.1994 19:43 </t>
  </si>
  <si>
    <t> P.Sobotka </t>
  </si>
  <si>
    <t>2449778.303 </t>
  </si>
  <si>
    <t> 01.03.1995 19:16 </t>
  </si>
  <si>
    <t> BBS 108 </t>
  </si>
  <si>
    <t>2449784.290 </t>
  </si>
  <si>
    <t> 07.03.1995 18:57 </t>
  </si>
  <si>
    <t>2449993.416 </t>
  </si>
  <si>
    <t> 02.10.1995 21:59 </t>
  </si>
  <si>
    <t> BBS 110 </t>
  </si>
  <si>
    <t>2450017.406 </t>
  </si>
  <si>
    <t> 26.10.1995 21:44 </t>
  </si>
  <si>
    <t>2450316.5078 </t>
  </si>
  <si>
    <t> 21.08.1996 00:11 </t>
  </si>
  <si>
    <t> 0.0040 </t>
  </si>
  <si>
    <t> J.Zahajsky </t>
  </si>
  <si>
    <t> BRNO 32 </t>
  </si>
  <si>
    <t>2450485.3482 </t>
  </si>
  <si>
    <t> 05.02.1997 20:21 </t>
  </si>
  <si>
    <t> 0.0105 </t>
  </si>
  <si>
    <t> R.Polloczek </t>
  </si>
  <si>
    <t>2450491.3462 </t>
  </si>
  <si>
    <t> 11.02.1997 20:18 </t>
  </si>
  <si>
    <t> 0.0093 </t>
  </si>
  <si>
    <t>2450509.351 </t>
  </si>
  <si>
    <t> 01.03.1997 20:25 </t>
  </si>
  <si>
    <t> BBS 114 </t>
  </si>
  <si>
    <t>2450515.3390 </t>
  </si>
  <si>
    <t> 07.03.1997 20:08 </t>
  </si>
  <si>
    <t> 0.0054 </t>
  </si>
  <si>
    <t>2450670.4609 </t>
  </si>
  <si>
    <t> 09.08.1997 23:03 </t>
  </si>
  <si>
    <t> 0.0057 </t>
  </si>
  <si>
    <t>2450670.4728 </t>
  </si>
  <si>
    <t> 09.08.1997 23:20 </t>
  </si>
  <si>
    <t> 0.0176 </t>
  </si>
  <si>
    <t> T.Kohout </t>
  </si>
  <si>
    <t>2450694.4671 </t>
  </si>
  <si>
    <t> 02.09.1997 23:12 </t>
  </si>
  <si>
    <t> 0.0152 </t>
  </si>
  <si>
    <t> J.Cechal </t>
  </si>
  <si>
    <t>2450700.459 </t>
  </si>
  <si>
    <t> 08.09.1997 23:00 </t>
  </si>
  <si>
    <t> BBS 116 </t>
  </si>
  <si>
    <t>2450731.320 </t>
  </si>
  <si>
    <t> 09.10.1997 19:40 </t>
  </si>
  <si>
    <t>2450743.312 </t>
  </si>
  <si>
    <t> 21.10.1997 19:29 </t>
  </si>
  <si>
    <t> M.Dietrich </t>
  </si>
  <si>
    <t>BAVM 113 </t>
  </si>
  <si>
    <t>2450755.312 </t>
  </si>
  <si>
    <t> 02.11.1997 19:29 </t>
  </si>
  <si>
    <t>2450875.287 </t>
  </si>
  <si>
    <t> 02.03.1998 18:53 </t>
  </si>
  <si>
    <t> BBS 117 </t>
  </si>
  <si>
    <t>2451906.2983 </t>
  </si>
  <si>
    <t> 27.12.2000 19:09 </t>
  </si>
  <si>
    <t> 0.0129 </t>
  </si>
  <si>
    <t>o</t>
  </si>
  <si>
    <t>BAVM 152 </t>
  </si>
  <si>
    <t>2452591.9106 </t>
  </si>
  <si>
    <t> 13.11.2002 09:51 </t>
  </si>
  <si>
    <t> 0.0052 </t>
  </si>
  <si>
    <t>C </t>
  </si>
  <si>
    <t>ns</t>
  </si>
  <si>
    <t> T.Shoup </t>
  </si>
  <si>
    <t>2452622.2991 </t>
  </si>
  <si>
    <t> 13.12.2002 19:10 </t>
  </si>
  <si>
    <t> -0.0307 </t>
  </si>
  <si>
    <t>2452697.33028 </t>
  </si>
  <si>
    <t> 26.02.2003 19:55 </t>
  </si>
  <si>
    <t> 0.01075 </t>
  </si>
  <si>
    <t> R.Ehrenberger </t>
  </si>
  <si>
    <t>2452931.2940 </t>
  </si>
  <si>
    <t> 18.10.2003 19:03 </t>
  </si>
  <si>
    <t> 0.0066 </t>
  </si>
  <si>
    <t>BAVM 172 </t>
  </si>
  <si>
    <t>2452937.3019 </t>
  </si>
  <si>
    <t> 24.10.2003 19:14 </t>
  </si>
  <si>
    <t> 0.0153 </t>
  </si>
  <si>
    <t>2453028.1419 </t>
  </si>
  <si>
    <t> 23.01.2004 15:24 </t>
  </si>
  <si>
    <t> 0.0107 </t>
  </si>
  <si>
    <t>?</t>
  </si>
  <si>
    <t> T.Krajci </t>
  </si>
  <si>
    <t>IBVS 5592 </t>
  </si>
  <si>
    <t>2453253.5389 </t>
  </si>
  <si>
    <t> 05.09.2004 00:56 </t>
  </si>
  <si>
    <t> 0.0101 </t>
  </si>
  <si>
    <t>-I</t>
  </si>
  <si>
    <t> K.&amp; M. Rätz </t>
  </si>
  <si>
    <t>BAVM 173 </t>
  </si>
  <si>
    <t>2453308.3821 </t>
  </si>
  <si>
    <t> 29.10.2004 21:10 </t>
  </si>
  <si>
    <t>8981</t>
  </si>
  <si>
    <t> 0.0037 </t>
  </si>
  <si>
    <t> V.Bakis et al. </t>
  </si>
  <si>
    <t>IBVS 5616 </t>
  </si>
  <si>
    <t>2453422.3731 </t>
  </si>
  <si>
    <t> 20.02.2005 20:57 </t>
  </si>
  <si>
    <t>9114</t>
  </si>
  <si>
    <t> 0.0103 </t>
  </si>
  <si>
    <t> U.Schmidt </t>
  </si>
  <si>
    <t>2453674.3375 </t>
  </si>
  <si>
    <t> 30.10.2005 20:06 </t>
  </si>
  <si>
    <t>9408</t>
  </si>
  <si>
    <t> 0.0094 </t>
  </si>
  <si>
    <t> Dietrich </t>
  </si>
  <si>
    <t>BAVM 178 </t>
  </si>
  <si>
    <t>2453705.6226 </t>
  </si>
  <si>
    <t> 01.12.2005 02:56 </t>
  </si>
  <si>
    <t>9444.5</t>
  </si>
  <si>
    <t> 0.0130 </t>
  </si>
  <si>
    <t> F.Agerer </t>
  </si>
  <si>
    <t>2453708.6168 </t>
  </si>
  <si>
    <t> 04.12.2005 02:48 </t>
  </si>
  <si>
    <t>9448</t>
  </si>
  <si>
    <t> 0.0077 </t>
  </si>
  <si>
    <t> S.Dvorak </t>
  </si>
  <si>
    <t>IBVS 5677 </t>
  </si>
  <si>
    <t>2454075.42443 </t>
  </si>
  <si>
    <t> 05.12.2006 22:11 </t>
  </si>
  <si>
    <t>9876</t>
  </si>
  <si>
    <t> 0.00854 </t>
  </si>
  <si>
    <t> L.Šmelcer </t>
  </si>
  <si>
    <t>2454354.8190 </t>
  </si>
  <si>
    <t> 11.09.2007 07:39 </t>
  </si>
  <si>
    <t>10202</t>
  </si>
  <si>
    <t>R</t>
  </si>
  <si>
    <t> R.Nelson </t>
  </si>
  <si>
    <t>IBVS 5820 </t>
  </si>
  <si>
    <t>2454436.2332 </t>
  </si>
  <si>
    <t> 01.12.2007 17:35 </t>
  </si>
  <si>
    <t>10297</t>
  </si>
  <si>
    <t> 0.0097 </t>
  </si>
  <si>
    <t> A.Liakos &amp; P.Niarchos </t>
  </si>
  <si>
    <t>IBVS 5897 </t>
  </si>
  <si>
    <t>2454553.6441 </t>
  </si>
  <si>
    <t> 28.03.2008 03:27 </t>
  </si>
  <si>
    <t>10434</t>
  </si>
  <si>
    <t> 0.0082 </t>
  </si>
  <si>
    <t> J.Bialozynski </t>
  </si>
  <si>
    <t>JAAVSO 36(2);186 </t>
  </si>
  <si>
    <t>2454751.6224 </t>
  </si>
  <si>
    <t> 12.10.2008 02:56 </t>
  </si>
  <si>
    <t>10665</t>
  </si>
  <si>
    <t> 0.0137 </t>
  </si>
  <si>
    <t> Lampens &amp; van Cauteren </t>
  </si>
  <si>
    <t>IBVS 5933 </t>
  </si>
  <si>
    <t>2454751.6226 </t>
  </si>
  <si>
    <t> 0.0139 </t>
  </si>
  <si>
    <t> C.Hesseltine </t>
  </si>
  <si>
    <t>JAAVSO 37(1);44 </t>
  </si>
  <si>
    <t>2454755.4849 </t>
  </si>
  <si>
    <t> 15.10.2008 23:38 </t>
  </si>
  <si>
    <t>10669.5</t>
  </si>
  <si>
    <t> 0.0196 </t>
  </si>
  <si>
    <t> S.Kleidis </t>
  </si>
  <si>
    <t>2454759.3359 </t>
  </si>
  <si>
    <t> 19.10.2008 20:03 </t>
  </si>
  <si>
    <t>10674</t>
  </si>
  <si>
    <t> 0.0140 </t>
  </si>
  <si>
    <t>2454800.4713 </t>
  </si>
  <si>
    <t> 29.11.2008 23:18 </t>
  </si>
  <si>
    <t>10722</t>
  </si>
  <si>
    <t> 0.0122 </t>
  </si>
  <si>
    <t>2454827.4647 </t>
  </si>
  <si>
    <t> 26.12.2008 23:09 </t>
  </si>
  <si>
    <t>10753.5</t>
  </si>
  <si>
    <t>2454830.4665 </t>
  </si>
  <si>
    <t> 29.12.2008 23:11 </t>
  </si>
  <si>
    <t>10757</t>
  </si>
  <si>
    <t> 0.0115 </t>
  </si>
  <si>
    <t>2454831.3228 </t>
  </si>
  <si>
    <t> 30.12.2008 19:44 </t>
  </si>
  <si>
    <t>10758</t>
  </si>
  <si>
    <t> 0.0108 </t>
  </si>
  <si>
    <t>-U;-I</t>
  </si>
  <si>
    <t> M.&amp; K.Rätz </t>
  </si>
  <si>
    <t>BAVM 209 </t>
  </si>
  <si>
    <t>2454831.3236 </t>
  </si>
  <si>
    <t> 30.12.2008 19:45 </t>
  </si>
  <si>
    <t> 0.0116 </t>
  </si>
  <si>
    <t>2454842.4640 </t>
  </si>
  <si>
    <t> 10.01.2009 23:08 </t>
  </si>
  <si>
    <t> 0.0106 </t>
  </si>
  <si>
    <t>2454843.3216 </t>
  </si>
  <si>
    <t> 11.01.2009 19:43 </t>
  </si>
  <si>
    <t> 0.0112 </t>
  </si>
  <si>
    <t>2454861.3177 </t>
  </si>
  <si>
    <t> 29.01.2009 19:37 </t>
  </si>
  <si>
    <t> 0.0098 </t>
  </si>
  <si>
    <t> J.Hambsch </t>
  </si>
  <si>
    <t>2454895.5985 </t>
  </si>
  <si>
    <t> 05.03.2009 02:21 </t>
  </si>
  <si>
    <t> 0.0096 </t>
  </si>
  <si>
    <t> G.Samolyk </t>
  </si>
  <si>
    <t> JAAVSO 38;85 </t>
  </si>
  <si>
    <t>2455118.4273 </t>
  </si>
  <si>
    <t> 13.10.2009 22:15 </t>
  </si>
  <si>
    <t> 0.0119 </t>
  </si>
  <si>
    <t> J.Virtanen </t>
  </si>
  <si>
    <t> JAAVSO 38;120 </t>
  </si>
  <si>
    <t>2455146.7118 </t>
  </si>
  <si>
    <t> 11.11.2009 05:04 </t>
  </si>
  <si>
    <t> 0.0145 </t>
  </si>
  <si>
    <t>2455158.7101 </t>
  </si>
  <si>
    <t> 23.11.2009 05:02 </t>
  </si>
  <si>
    <t> R.Poklar </t>
  </si>
  <si>
    <t>2455197.7015 </t>
  </si>
  <si>
    <t> 01.01.2010 04:50 </t>
  </si>
  <si>
    <t>IBVS 5920 </t>
  </si>
  <si>
    <t>2455207.5581 </t>
  </si>
  <si>
    <t> 11.01.2010 01:23 </t>
  </si>
  <si>
    <t> 0.0121 </t>
  </si>
  <si>
    <t> K.Menzies </t>
  </si>
  <si>
    <t>2455506.6581 </t>
  </si>
  <si>
    <t> 06.11.2010 03:47 </t>
  </si>
  <si>
    <t> JAAVSO 39;177 </t>
  </si>
  <si>
    <t>2455585.5061 </t>
  </si>
  <si>
    <t> 24.01.2011 00:08 </t>
  </si>
  <si>
    <t> 0.0120 </t>
  </si>
  <si>
    <t>2455602.6466 </t>
  </si>
  <si>
    <t> 10.02.2011 03:31 </t>
  </si>
  <si>
    <t>2455849.4647 </t>
  </si>
  <si>
    <t> 14.10.2011 23:09 </t>
  </si>
  <si>
    <t> 0.0069 </t>
  </si>
  <si>
    <t> P.Frank </t>
  </si>
  <si>
    <t>BAVM 231 </t>
  </si>
  <si>
    <t>2455852.8924 </t>
  </si>
  <si>
    <t> 18.10.2011 09:25 </t>
  </si>
  <si>
    <t> 0.0065 </t>
  </si>
  <si>
    <t>IBVS 6011 </t>
  </si>
  <si>
    <t>2455964.3132 </t>
  </si>
  <si>
    <t> 06.02.2012 19:31 </t>
  </si>
  <si>
    <t> K. &amp; M.Rätz </t>
  </si>
  <si>
    <t>BAVM 232 </t>
  </si>
  <si>
    <t>2456212.8431 </t>
  </si>
  <si>
    <t> 12.10.2012 08:14 </t>
  </si>
  <si>
    <t>2456255.6945 </t>
  </si>
  <si>
    <t> 24.11.2012 04:40 </t>
  </si>
  <si>
    <t>2456279.6932 </t>
  </si>
  <si>
    <t> 18.12.2012 04:38 </t>
  </si>
  <si>
    <t> 0.0088 </t>
  </si>
  <si>
    <t>IBVS 6042 </t>
  </si>
  <si>
    <t>2456566.7931 </t>
  </si>
  <si>
    <t> 01.10.2013 07:02 </t>
  </si>
  <si>
    <t> JAAVSO 42;426 </t>
  </si>
  <si>
    <t>2456681.6349 </t>
  </si>
  <si>
    <t> 24.01.2014 03:14 </t>
  </si>
  <si>
    <t>2443420.756 </t>
  </si>
  <si>
    <t> 04.10.1977 06:08 </t>
  </si>
  <si>
    <t> -0.124 </t>
  </si>
  <si>
    <t>2443469.581 </t>
  </si>
  <si>
    <t> 22.11.1977 01:56 </t>
  </si>
  <si>
    <t> -0.149 </t>
  </si>
  <si>
    <t>2443798.694 </t>
  </si>
  <si>
    <t> 17.10.1978 04:39 </t>
  </si>
  <si>
    <t> -0.134 </t>
  </si>
  <si>
    <t>2443876.660 </t>
  </si>
  <si>
    <t> 03.01.1979 03:50 </t>
  </si>
  <si>
    <t> -0.157 </t>
  </si>
  <si>
    <t>2444236.619 </t>
  </si>
  <si>
    <t> 29.12.1979 02:51 </t>
  </si>
  <si>
    <t>2446028.744 </t>
  </si>
  <si>
    <t> 24.11.1984 05:51 </t>
  </si>
  <si>
    <t> -0.063 </t>
  </si>
  <si>
    <t>2446294.474 </t>
  </si>
  <si>
    <t> 16.08.1985 23:22 </t>
  </si>
  <si>
    <t>2446294.483 </t>
  </si>
  <si>
    <t> 16.08.1985 23:35 </t>
  </si>
  <si>
    <t> -0.002 </t>
  </si>
  <si>
    <t> P.Hajek </t>
  </si>
  <si>
    <t>2447847.4184 </t>
  </si>
  <si>
    <t> 16.11.1989 22:02 </t>
  </si>
  <si>
    <t> 0.0039 </t>
  </si>
  <si>
    <t>B;V</t>
  </si>
  <si>
    <t>2450369.649 </t>
  </si>
  <si>
    <t> 13.10.1996 03:34 </t>
  </si>
  <si>
    <t> S.Cook </t>
  </si>
  <si>
    <t>2452585.0586 </t>
  </si>
  <si>
    <t> 06.11.2002 13:24 </t>
  </si>
  <si>
    <t> Nakajima </t>
  </si>
  <si>
    <t>2452586.7698 </t>
  </si>
  <si>
    <t> 08.11.2002 06:28 </t>
  </si>
  <si>
    <t>2452611.6230 </t>
  </si>
  <si>
    <t> 03.12.2002 02:57 </t>
  </si>
  <si>
    <t> 0.0060 </t>
  </si>
  <si>
    <t> J.A.Howell </t>
  </si>
  <si>
    <t>2452906.432 </t>
  </si>
  <si>
    <t> 23.09.2003 22:22 </t>
  </si>
  <si>
    <t> M.Vrašták </t>
  </si>
  <si>
    <t>2453236.423 </t>
  </si>
  <si>
    <t> 18.08.2004 22:09 </t>
  </si>
  <si>
    <t> 0.035 </t>
  </si>
  <si>
    <t> N.Mergová </t>
  </si>
  <si>
    <t>2453312.671 </t>
  </si>
  <si>
    <t> 03.11.2004 04:06 </t>
  </si>
  <si>
    <t>8986</t>
  </si>
  <si>
    <t>2453350.379 </t>
  </si>
  <si>
    <t> 10.12.2004 21:05 </t>
  </si>
  <si>
    <t>9030</t>
  </si>
  <si>
    <t> M.Machon </t>
  </si>
  <si>
    <t>2453361.5223 </t>
  </si>
  <si>
    <t> 22.12.2004 00:32 </t>
  </si>
  <si>
    <t>9043</t>
  </si>
  <si>
    <t> M.Zejda et al. </t>
  </si>
  <si>
    <t>IBVS 5741 </t>
  </si>
  <si>
    <t>2453412.944 </t>
  </si>
  <si>
    <t> 11.02.2005 10:39 </t>
  </si>
  <si>
    <t>9103</t>
  </si>
  <si>
    <t> Hirosawa </t>
  </si>
  <si>
    <t>2453456.6554 </t>
  </si>
  <si>
    <t> 27.03.2005 03:43 </t>
  </si>
  <si>
    <t>9154</t>
  </si>
  <si>
    <t>2453664.0525 </t>
  </si>
  <si>
    <t> 20.10.2005 13:15 </t>
  </si>
  <si>
    <t>9396</t>
  </si>
  <si>
    <t> 0.0087 </t>
  </si>
  <si>
    <t> Kubotera </t>
  </si>
  <si>
    <t>2453693.1918 </t>
  </si>
  <si>
    <t> 18.11.2005 16:36 </t>
  </si>
  <si>
    <t>9430</t>
  </si>
  <si>
    <t> 0.0091 </t>
  </si>
  <si>
    <t>2453834.6009 </t>
  </si>
  <si>
    <t> 09.04.2006 02:25 </t>
  </si>
  <si>
    <t>9595</t>
  </si>
  <si>
    <t>2454157.6978 </t>
  </si>
  <si>
    <t> 26.02.2007 04:44 </t>
  </si>
  <si>
    <t>9972</t>
  </si>
  <si>
    <t> 0.0075 </t>
  </si>
  <si>
    <t>2454308.5401 </t>
  </si>
  <si>
    <t> 27.07.2007 00:57 </t>
  </si>
  <si>
    <t>10148</t>
  </si>
  <si>
    <t> 0.0134 </t>
  </si>
  <si>
    <t> M.Lehky </t>
  </si>
  <si>
    <t>2454453.3739 </t>
  </si>
  <si>
    <t> 18.12.2007 20:58 </t>
  </si>
  <si>
    <t>10317</t>
  </si>
  <si>
    <t> 0.0099 </t>
  </si>
  <si>
    <t> H.Jungbluth </t>
  </si>
  <si>
    <t>2454502.2227 </t>
  </si>
  <si>
    <t> 05.02.2008 17:20 </t>
  </si>
  <si>
    <t>10374</t>
  </si>
  <si>
    <t>m</t>
  </si>
  <si>
    <t>2454719.4800 </t>
  </si>
  <si>
    <t> 09.09.2008 23:31 </t>
  </si>
  <si>
    <t>10627.5</t>
  </si>
  <si>
    <t> R.Kocián </t>
  </si>
  <si>
    <t>2454775.6188 </t>
  </si>
  <si>
    <t> 05.11.2008 02:51 </t>
  </si>
  <si>
    <t>10693</t>
  </si>
  <si>
    <t>2455850.3212 </t>
  </si>
  <si>
    <t> 15.10.2011 19:42 </t>
  </si>
  <si>
    <t> 0.0063 </t>
  </si>
  <si>
    <t>2455863.1749 </t>
  </si>
  <si>
    <t> 28.10.2011 16:11 </t>
  </si>
  <si>
    <t> 0.0047 </t>
  </si>
  <si>
    <t> H.Itoh </t>
  </si>
  <si>
    <t>2455863.1785 </t>
  </si>
  <si>
    <t> 28.10.2011 16:17 </t>
  </si>
  <si>
    <t> K.Shiokawa </t>
  </si>
  <si>
    <t>2456182.8482 </t>
  </si>
  <si>
    <t> 12.09.2012 08:21 </t>
  </si>
  <si>
    <t> 0.0076 </t>
  </si>
  <si>
    <t>2456956.7402 </t>
  </si>
  <si>
    <t> 26.10.2014 05:45 </t>
  </si>
  <si>
    <t> 0.0059 </t>
  </si>
  <si>
    <t> N.Simmons </t>
  </si>
  <si>
    <t>2456998.7339 </t>
  </si>
  <si>
    <t> 07.12.2014 05:36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</si>
  <si>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</si>
  <si>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</si>
  <si>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</si>
  <si>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</si>
  <si>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</si>
  <si>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</si>
  <si>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</si>
  <si>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</si>
  <si>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</si>
  <si>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</si>
  <si>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</si>
  <si>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</si>
  <si>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</si>
  <si>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</si>
  <si>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</si>
  <si>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</si>
  <si>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</si>
  <si>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</si>
  <si>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</si>
  <si>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</si>
  <si>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</si>
  <si>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</si>
  <si>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</si>
  <si>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</si>
  <si>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</si>
  <si>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</si>
  <si>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</si>
  <si>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</si>
  <si>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</si>
  <si>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</si>
  <si>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</si>
  <si>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</si>
  <si>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</si>
  <si>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</si>
  <si>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</si>
  <si>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</si>
  <si>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</si>
  <si>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</si>
  <si>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</si>
  <si>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</si>
  <si>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</si>
  <si>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</si>
  <si>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</si>
  <si>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</si>
  <si>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</si>
  <si>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</si>
  <si>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</si>
  <si>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</si>
  <si>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</si>
  <si>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</si>
  <si>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</si>
  <si>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</si>
  <si>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</si>
  <si>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</si>
  <si>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</si>
  <si>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</si>
  <si>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</si>
  <si>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</si>
  <si>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</si>
  <si>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</si>
  <si>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</si>
  <si>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</si>
  <si>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</si>
  <si>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</si>
  <si>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</si>
  <si>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</si>
  <si>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</si>
  <si>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</si>
  <si>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W</t>
  </si>
  <si>
    <t>Z</t>
  </si>
  <si>
    <t>JAVSO 49, 108</t>
  </si>
  <si>
    <t>JAVSO, 50, 133</t>
  </si>
  <si>
    <t>JAAVSO 51, 134</t>
  </si>
  <si>
    <t>S5</t>
  </si>
  <si>
    <t>JAAVSO52#1</t>
  </si>
  <si>
    <t>Next ToM-P</t>
  </si>
  <si>
    <t>Next ToM-S</t>
  </si>
  <si>
    <t>10.50-11.60</t>
  </si>
  <si>
    <t xml:space="preserve">Mag p </t>
  </si>
  <si>
    <t>VSX</t>
  </si>
  <si>
    <t>EA+DSCT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</si>
</sst>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m/d/yyyy"/>
    <numFmt numFmtId="167" formatCode="0.0000"/>
    <numFmt numFmtId="168" formatCode="0.E+00"/>
    <numFmt numFmtId="169" formatCode="0.0%"/>
    <numFmt numFmtId="170" formatCode="dd/mm/yyyy"/>
    <numFmt numFmtId="171" formatCode="0.00000"/>
  </numFmts>
  <fonts count="24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</cellStyleXfs>
  <cellXfs count="13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0" fillId="0" borderId="2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4" fillId="0" borderId="0" xfId="0" applyFont="1" applyAlignment="1"/>
    <xf numFmtId="0" fontId="5" fillId="0" borderId="0" xfId="0" applyFon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11" fontId="0" fillId="0" borderId="0" xfId="0" applyNumberFormat="1" applyAlignment="1">
      <alignment horizontal="center"/>
    </xf>
    <xf numFmtId="0" fontId="0" fillId="0" borderId="4" xfId="0" applyBorder="1" applyAlignment="1"/>
    <xf numFmtId="11" fontId="0" fillId="0" borderId="0" xfId="0" applyNumberFormat="1" applyAlignment="1"/>
    <xf numFmtId="0" fontId="0" fillId="0" borderId="5" xfId="0" applyBorder="1" applyAlignment="1"/>
    <xf numFmtId="0" fontId="0" fillId="0" borderId="0" xfId="0" applyAlignment="1">
      <alignment horizontal="center"/>
    </xf>
    <xf numFmtId="0" fontId="0" fillId="0" borderId="6" xfId="0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>
      <alignment vertical="top"/>
    </xf>
    <xf numFmtId="0" fontId="7" fillId="0" borderId="0" xfId="0" applyFont="1" applyAlignment="1">
      <alignment horizontal="left"/>
    </xf>
    <xf numFmtId="0" fontId="7" fillId="0" borderId="0" xfId="0" applyFont="1">
      <alignment vertical="top"/>
    </xf>
    <xf numFmtId="0" fontId="3" fillId="0" borderId="7" xfId="0" applyFont="1" applyBorder="1" applyAlignment="1"/>
    <xf numFmtId="0" fontId="3" fillId="0" borderId="8" xfId="0" applyFont="1" applyBorder="1" applyAlignment="1"/>
    <xf numFmtId="0" fontId="8" fillId="0" borderId="9" xfId="0" applyFont="1" applyBorder="1" applyAlignment="1"/>
    <xf numFmtId="0" fontId="8" fillId="0" borderId="10" xfId="0" applyFont="1" applyBorder="1" applyAlignment="1"/>
    <xf numFmtId="165" fontId="7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167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top"/>
    </xf>
    <xf numFmtId="0" fontId="12" fillId="0" borderId="0" xfId="0" applyFont="1" applyAlignment="1"/>
    <xf numFmtId="0" fontId="10" fillId="0" borderId="0" xfId="0" applyFont="1" applyAlignment="1">
      <alignment horizontal="center" vertical="center"/>
    </xf>
    <xf numFmtId="0" fontId="13" fillId="0" borderId="0" xfId="8" applyFont="1" applyAlignment="1">
      <alignment horizontal="left" vertical="center" wrapText="1"/>
    </xf>
    <xf numFmtId="0" fontId="13" fillId="0" borderId="0" xfId="8" applyFont="1" applyAlignment="1">
      <alignment horizontal="center" vertical="center" wrapText="1"/>
    </xf>
    <xf numFmtId="0" fontId="13" fillId="0" borderId="0" xfId="8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3" fillId="0" borderId="0" xfId="7" applyFont="1"/>
    <xf numFmtId="0" fontId="13" fillId="0" borderId="0" xfId="7" applyFont="1" applyAlignment="1">
      <alignment horizontal="center"/>
    </xf>
    <xf numFmtId="167" fontId="13" fillId="0" borderId="0" xfId="7" applyNumberFormat="1" applyFont="1" applyAlignment="1">
      <alignment horizontal="left" vertical="top"/>
    </xf>
    <xf numFmtId="0" fontId="13" fillId="0" borderId="0" xfId="7" applyFont="1" applyAlignment="1">
      <alignment horizontal="left" vertical="top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0" fillId="2" borderId="17" xfId="0" applyFont="1" applyFill="1" applyBorder="1" applyAlignment="1">
      <alignment horizontal="left" vertical="top" wrapText="1" inden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right" vertical="top" wrapText="1"/>
    </xf>
    <xf numFmtId="0" fontId="16" fillId="2" borderId="17" xfId="5" applyNumberForma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3" fillId="0" borderId="0" xfId="0" applyFont="1">
      <alignment vertical="top"/>
    </xf>
    <xf numFmtId="0" fontId="11" fillId="0" borderId="0" xfId="0" applyFont="1">
      <alignment vertical="top"/>
    </xf>
    <xf numFmtId="0" fontId="3" fillId="0" borderId="11" xfId="0" applyFont="1" applyBorder="1">
      <alignment vertical="top"/>
    </xf>
    <xf numFmtId="0" fontId="18" fillId="0" borderId="12" xfId="0" applyFont="1" applyBorder="1">
      <alignment vertical="top"/>
    </xf>
    <xf numFmtId="0" fontId="7" fillId="0" borderId="4" xfId="0" applyFont="1" applyBorder="1">
      <alignment vertical="top"/>
    </xf>
    <xf numFmtId="168" fontId="7" fillId="0" borderId="4" xfId="0" applyNumberFormat="1" applyFont="1" applyBorder="1" applyAlignment="1">
      <alignment horizontal="center"/>
    </xf>
    <xf numFmtId="169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3" xfId="0" applyFont="1" applyBorder="1">
      <alignment vertical="top"/>
    </xf>
    <xf numFmtId="0" fontId="18" fillId="0" borderId="14" xfId="0" applyFont="1" applyBorder="1">
      <alignment vertical="top"/>
    </xf>
    <xf numFmtId="0" fontId="7" fillId="0" borderId="5" xfId="0" applyFont="1" applyBorder="1">
      <alignment vertical="top"/>
    </xf>
    <xf numFmtId="168" fontId="7" fillId="0" borderId="5" xfId="0" applyNumberFormat="1" applyFont="1" applyBorder="1" applyAlignment="1">
      <alignment horizontal="center"/>
    </xf>
    <xf numFmtId="0" fontId="3" fillId="0" borderId="15" xfId="0" applyFont="1" applyBorder="1">
      <alignment vertical="top"/>
    </xf>
    <xf numFmtId="0" fontId="18" fillId="0" borderId="16" xfId="0" applyFont="1" applyBorder="1">
      <alignment vertical="top"/>
    </xf>
    <xf numFmtId="0" fontId="7" fillId="0" borderId="6" xfId="0" applyFont="1" applyBorder="1">
      <alignment vertical="top"/>
    </xf>
    <xf numFmtId="168" fontId="7" fillId="0" borderId="6" xfId="0" applyNumberFormat="1" applyFont="1" applyBorder="1" applyAlignment="1">
      <alignment horizontal="center"/>
    </xf>
    <xf numFmtId="0" fontId="11" fillId="0" borderId="3" xfId="0" applyFont="1" applyBorder="1">
      <alignment vertical="top"/>
    </xf>
    <xf numFmtId="0" fontId="0" fillId="0" borderId="3" xfId="0" applyBorder="1">
      <alignment vertical="top"/>
    </xf>
    <xf numFmtId="0" fontId="18" fillId="0" borderId="0" xfId="0" applyFont="1">
      <alignment vertical="top"/>
    </xf>
    <xf numFmtId="168" fontId="7" fillId="0" borderId="0" xfId="0" applyNumberFormat="1" applyFont="1" applyAlignment="1">
      <alignment horizontal="center"/>
    </xf>
    <xf numFmtId="10" fontId="3" fillId="0" borderId="0" xfId="0" applyNumberFormat="1" applyFont="1">
      <alignment vertical="top"/>
    </xf>
    <xf numFmtId="0" fontId="12" fillId="0" borderId="0" xfId="0" applyFont="1">
      <alignment vertical="top"/>
    </xf>
    <xf numFmtId="169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5" fillId="0" borderId="0" xfId="0" applyFo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19" fillId="0" borderId="0" xfId="0" applyFont="1">
      <alignment vertical="top"/>
    </xf>
    <xf numFmtId="0" fontId="4" fillId="0" borderId="3" xfId="0" applyFont="1" applyBorder="1" applyAlignment="1">
      <alignment horizontal="center"/>
    </xf>
    <xf numFmtId="0" fontId="5" fillId="3" borderId="1" xfId="0" applyFont="1" applyFill="1" applyBorder="1">
      <alignment vertical="top"/>
    </xf>
    <xf numFmtId="0" fontId="7" fillId="0" borderId="18" xfId="0" applyFont="1" applyBorder="1">
      <alignment vertical="top"/>
    </xf>
    <xf numFmtId="0" fontId="3" fillId="0" borderId="1" xfId="0" applyFont="1" applyBorder="1">
      <alignment vertical="top"/>
    </xf>
    <xf numFmtId="170" fontId="0" fillId="0" borderId="0" xfId="0" applyNumberFormat="1" applyAlignment="1"/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71" fontId="21" fillId="0" borderId="0" xfId="0" applyNumberFormat="1" applyFont="1" applyAlignment="1">
      <alignment horizontal="left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0" fillId="0" borderId="19" xfId="0" applyBorder="1" applyAlignment="1"/>
    <xf numFmtId="0" fontId="22" fillId="0" borderId="22" xfId="0" applyFont="1" applyBorder="1" applyAlignment="1">
      <alignment horizontal="right" vertical="center"/>
    </xf>
    <xf numFmtId="0" fontId="22" fillId="0" borderId="24" xfId="0" applyFont="1" applyBorder="1" applyAlignment="1">
      <alignment horizontal="right" vertical="center"/>
    </xf>
    <xf numFmtId="0" fontId="0" fillId="4" borderId="20" xfId="0" applyFont="1" applyFill="1" applyBorder="1" applyAlignment="1">
      <alignment horizontal="right" vertical="center"/>
    </xf>
    <xf numFmtId="0" fontId="0" fillId="4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23" fillId="0" borderId="23" xfId="0" applyFont="1" applyBorder="1" applyAlignment="1">
      <alignment horizontal="right" vertical="center"/>
    </xf>
    <xf numFmtId="22" fontId="23" fillId="0" borderId="23" xfId="0" applyNumberFormat="1" applyFont="1" applyBorder="1" applyAlignment="1">
      <alignment horizontal="right" vertical="center"/>
    </xf>
    <xf numFmtId="22" fontId="23" fillId="0" borderId="25" xfId="0" applyNumberFormat="1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Per - O-C Diagr.</a:t>
            </a:r>
          </a:p>
        </c:rich>
      </c:tx>
      <c:layout>
        <c:manualLayout>
          <c:xMode val="edge"/>
          <c:yMode val="edge"/>
          <c:x val="0.3848531684698609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6280267903143"/>
          <c:y val="0.12564966762332277"/>
          <c:w val="0.82637815558990213"/>
          <c:h val="0.650053556389563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Active!$H$21:$H$284</c:f>
              <c:numCache>
                <c:formatCode>General</c:formatCode>
                <c:ptCount val="264"/>
                <c:pt idx="0">
                  <c:v>-4.8276500019710511E-3</c:v>
                </c:pt>
                <c:pt idx="1">
                  <c:v>-1.0551900002610637E-2</c:v>
                </c:pt>
                <c:pt idx="2">
                  <c:v>1.6495799998665461E-2</c:v>
                </c:pt>
                <c:pt idx="3">
                  <c:v>4.6052999969106168E-3</c:v>
                </c:pt>
                <c:pt idx="4">
                  <c:v>1.7719199997372925E-2</c:v>
                </c:pt>
                <c:pt idx="5">
                  <c:v>-4.2159299999184441E-2</c:v>
                </c:pt>
                <c:pt idx="6">
                  <c:v>1.9041699997615069E-2</c:v>
                </c:pt>
                <c:pt idx="7">
                  <c:v>-6.0661099996650591E-2</c:v>
                </c:pt>
                <c:pt idx="8">
                  <c:v>-7.3639000038383529E-3</c:v>
                </c:pt>
                <c:pt idx="9">
                  <c:v>-3.8949900001171045E-2</c:v>
                </c:pt>
                <c:pt idx="10">
                  <c:v>-1.1303000064799562E-3</c:v>
                </c:pt>
                <c:pt idx="11">
                  <c:v>4.2061999993165955E-3</c:v>
                </c:pt>
                <c:pt idx="12">
                  <c:v>-1.5818899999430869E-2</c:v>
                </c:pt>
                <c:pt idx="14">
                  <c:v>-6.2243200001830701E-2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61-4B90-B187-3A0B0C568C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Active!$F$21:$F$2804</c:f>
              <c:numCache>
                <c:formatCode>General</c:formatCode>
                <c:ptCount val="278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Active!$I$21:$I$2804</c:f>
              <c:numCache>
                <c:formatCode>General</c:formatCode>
                <c:ptCount val="2784"/>
                <c:pt idx="13">
                  <c:v>-6.2243200001830701E-2</c:v>
                </c:pt>
                <c:pt idx="15">
                  <c:v>-1.2972899996384513E-2</c:v>
                </c:pt>
                <c:pt idx="16">
                  <c:v>-1.471240000682883E-2</c:v>
                </c:pt>
                <c:pt idx="17">
                  <c:v>-1.1100900002929848E-2</c:v>
                </c:pt>
                <c:pt idx="18">
                  <c:v>-2.6427200005855411E-2</c:v>
                </c:pt>
                <c:pt idx="19">
                  <c:v>-1.9427200000791345E-2</c:v>
                </c:pt>
                <c:pt idx="20">
                  <c:v>-2.9452300004777499E-2</c:v>
                </c:pt>
                <c:pt idx="21">
                  <c:v>-2.3452300003555138E-2</c:v>
                </c:pt>
                <c:pt idx="22">
                  <c:v>-3.0506500006595161E-2</c:v>
                </c:pt>
                <c:pt idx="23">
                  <c:v>-2.1832800004631281E-2</c:v>
                </c:pt>
                <c:pt idx="24">
                  <c:v>-0.12384439999732422</c:v>
                </c:pt>
                <c:pt idx="25">
                  <c:v>-0.14927510000416078</c:v>
                </c:pt>
                <c:pt idx="26">
                  <c:v>-0.13391350000165403</c:v>
                </c:pt>
                <c:pt idx="27">
                  <c:v>-0.15719759999774396</c:v>
                </c:pt>
                <c:pt idx="28">
                  <c:v>-0.14873960000113584</c:v>
                </c:pt>
                <c:pt idx="29">
                  <c:v>7.4896000005537644E-3</c:v>
                </c:pt>
                <c:pt idx="30">
                  <c:v>1.0585999996692408E-2</c:v>
                </c:pt>
                <c:pt idx="31">
                  <c:v>-7.7403000032063574E-3</c:v>
                </c:pt>
                <c:pt idx="32">
                  <c:v>2.7747999993152916E-3</c:v>
                </c:pt>
                <c:pt idx="33">
                  <c:v>-1.1576600001717452E-2</c:v>
                </c:pt>
                <c:pt idx="34">
                  <c:v>-7.4550999997882172E-3</c:v>
                </c:pt>
                <c:pt idx="35">
                  <c:v>-9.7010000026784837E-3</c:v>
                </c:pt>
                <c:pt idx="36">
                  <c:v>-5.131700003403239E-3</c:v>
                </c:pt>
                <c:pt idx="37">
                  <c:v>8.6829999781912193E-4</c:v>
                </c:pt>
                <c:pt idx="38">
                  <c:v>1.5868299997237045E-2</c:v>
                </c:pt>
                <c:pt idx="39">
                  <c:v>-1.8361599999479949E-2</c:v>
                </c:pt>
                <c:pt idx="40">
                  <c:v>1.8462699998053722E-2</c:v>
                </c:pt>
                <c:pt idx="41">
                  <c:v>-1.8713000004936475E-2</c:v>
                </c:pt>
                <c:pt idx="42">
                  <c:v>1.2286999997741077E-2</c:v>
                </c:pt>
                <c:pt idx="43">
                  <c:v>1.6881399998965207E-2</c:v>
                </c:pt>
                <c:pt idx="44">
                  <c:v>2.124400001775939E-3</c:v>
                </c:pt>
                <c:pt idx="45">
                  <c:v>1.0124400003405754E-2</c:v>
                </c:pt>
                <c:pt idx="46">
                  <c:v>0</c:v>
                </c:pt>
                <c:pt idx="47">
                  <c:v>0</c:v>
                </c:pt>
                <c:pt idx="48">
                  <c:v>2.9719999292865396E-4</c:v>
                </c:pt>
                <c:pt idx="49">
                  <c:v>2.9719999292865396E-4</c:v>
                </c:pt>
                <c:pt idx="50">
                  <c:v>-8.7850000272737816E-4</c:v>
                </c:pt>
                <c:pt idx="51">
                  <c:v>-8.7850000272737816E-4</c:v>
                </c:pt>
                <c:pt idx="52">
                  <c:v>-1.4903600007528439E-2</c:v>
                </c:pt>
                <c:pt idx="53">
                  <c:v>-1.0029100005340297E-2</c:v>
                </c:pt>
                <c:pt idx="54">
                  <c:v>-2.2757000006095041E-2</c:v>
                </c:pt>
                <c:pt idx="55">
                  <c:v>-8.7570000032428652E-3</c:v>
                </c:pt>
                <c:pt idx="56">
                  <c:v>-8.7570000032428652E-3</c:v>
                </c:pt>
                <c:pt idx="57">
                  <c:v>2.179000002797693E-4</c:v>
                </c:pt>
                <c:pt idx="58">
                  <c:v>1.9042200001422316E-2</c:v>
                </c:pt>
                <c:pt idx="59">
                  <c:v>7.4860000022454187E-3</c:v>
                </c:pt>
                <c:pt idx="60">
                  <c:v>-9.0662000002339482E-3</c:v>
                </c:pt>
                <c:pt idx="61">
                  <c:v>-5.638400005409494E-3</c:v>
                </c:pt>
                <c:pt idx="62">
                  <c:v>3.6159999581286684E-4</c:v>
                </c:pt>
                <c:pt idx="63">
                  <c:v>1.1361599994415883E-2</c:v>
                </c:pt>
                <c:pt idx="64">
                  <c:v>8.1858999983523972E-3</c:v>
                </c:pt>
                <c:pt idx="65">
                  <c:v>-3.2197000036831014E-3</c:v>
                </c:pt>
                <c:pt idx="66">
                  <c:v>-6.3223700002708938E-2</c:v>
                </c:pt>
                <c:pt idx="67">
                  <c:v>-3.4496000007493421E-3</c:v>
                </c:pt>
                <c:pt idx="68">
                  <c:v>5.5503999974462204E-3</c:v>
                </c:pt>
                <c:pt idx="69">
                  <c:v>4.8224999991361983E-3</c:v>
                </c:pt>
                <c:pt idx="70">
                  <c:v>5.2346500015119091E-3</c:v>
                </c:pt>
                <c:pt idx="71">
                  <c:v>9.943999997631181E-3</c:v>
                </c:pt>
                <c:pt idx="72">
                  <c:v>1.3416900001175236E-2</c:v>
                </c:pt>
                <c:pt idx="73">
                  <c:v>3.2412000000476837E-3</c:v>
                </c:pt>
                <c:pt idx="74">
                  <c:v>-6.9345000083558261E-3</c:v>
                </c:pt>
                <c:pt idx="75">
                  <c:v>1.4065499992284458E-2</c:v>
                </c:pt>
                <c:pt idx="76">
                  <c:v>1.1698099995555822E-2</c:v>
                </c:pt>
                <c:pt idx="77">
                  <c:v>-1.2004700001853053E-2</c:v>
                </c:pt>
                <c:pt idx="78">
                  <c:v>-1.1004699998011347E-2</c:v>
                </c:pt>
                <c:pt idx="79">
                  <c:v>-2.0046999998157844E-3</c:v>
                </c:pt>
                <c:pt idx="80">
                  <c:v>-2.0046999998157844E-3</c:v>
                </c:pt>
                <c:pt idx="81">
                  <c:v>-1.0047000032500364E-3</c:v>
                </c:pt>
                <c:pt idx="82">
                  <c:v>1.8388900003628805E-2</c:v>
                </c:pt>
                <c:pt idx="83">
                  <c:v>6.2131999948178418E-3</c:v>
                </c:pt>
                <c:pt idx="84">
                  <c:v>6.8610000016633421E-4</c:v>
                </c:pt>
                <c:pt idx="85">
                  <c:v>5.6860999975469895E-3</c:v>
                </c:pt>
                <c:pt idx="86">
                  <c:v>1.8075999978464097E-3</c:v>
                </c:pt>
                <c:pt idx="87">
                  <c:v>-9.773700003279373E-3</c:v>
                </c:pt>
                <c:pt idx="88">
                  <c:v>-3.0737999986740761E-3</c:v>
                </c:pt>
                <c:pt idx="89">
                  <c:v>6.5747999979066662E-3</c:v>
                </c:pt>
                <c:pt idx="90">
                  <c:v>1.2871999999333639E-2</c:v>
                </c:pt>
                <c:pt idx="91">
                  <c:v>8.2906999959959649E-3</c:v>
                </c:pt>
                <c:pt idx="92">
                  <c:v>1.6842999975779094E-3</c:v>
                </c:pt>
                <c:pt idx="93">
                  <c:v>-1.0415000004286412E-2</c:v>
                </c:pt>
                <c:pt idx="94">
                  <c:v>-5.4150000069057569E-3</c:v>
                </c:pt>
                <c:pt idx="95">
                  <c:v>-5.9070000133942813E-4</c:v>
                </c:pt>
                <c:pt idx="96">
                  <c:v>4.0930000250227749E-4</c:v>
                </c:pt>
                <c:pt idx="97">
                  <c:v>9.40930000069784E-3</c:v>
                </c:pt>
                <c:pt idx="98">
                  <c:v>6.3300000037997961E-3</c:v>
                </c:pt>
                <c:pt idx="99">
                  <c:v>-1.3372800000070129E-2</c:v>
                </c:pt>
                <c:pt idx="100">
                  <c:v>1.1572999996133149E-2</c:v>
                </c:pt>
                <c:pt idx="101">
                  <c:v>1.2669399999140296E-2</c:v>
                </c:pt>
                <c:pt idx="102">
                  <c:v>1.434309999604011E-2</c:v>
                </c:pt>
                <c:pt idx="103">
                  <c:v>1.2288900004932657E-2</c:v>
                </c:pt>
                <c:pt idx="104">
                  <c:v>1.1113200002000667E-2</c:v>
                </c:pt>
                <c:pt idx="105">
                  <c:v>1.5461699993466027E-2</c:v>
                </c:pt>
                <c:pt idx="106">
                  <c:v>4.0852000020095147E-3</c:v>
                </c:pt>
                <c:pt idx="107">
                  <c:v>1.6085199997178279E-2</c:v>
                </c:pt>
                <c:pt idx="108">
                  <c:v>-7.4167999991914257E-3</c:v>
                </c:pt>
                <c:pt idx="109">
                  <c:v>-4.4418999968911521E-3</c:v>
                </c:pt>
                <c:pt idx="110">
                  <c:v>-4.4190000335220248E-4</c:v>
                </c:pt>
                <c:pt idx="111">
                  <c:v>3.2318000012310222E-3</c:v>
                </c:pt>
                <c:pt idx="112">
                  <c:v>9.9768000000040047E-3</c:v>
                </c:pt>
                <c:pt idx="113">
                  <c:v>3.9801099999749567E-2</c:v>
                </c:pt>
                <c:pt idx="114">
                  <c:v>2.3123400002077688E-2</c:v>
                </c:pt>
                <c:pt idx="115">
                  <c:v>1.4098300001933239E-2</c:v>
                </c:pt>
                <c:pt idx="116">
                  <c:v>-5.2531000037561171E-3</c:v>
                </c:pt>
                <c:pt idx="117">
                  <c:v>4.0441000019200146E-3</c:v>
                </c:pt>
                <c:pt idx="118">
                  <c:v>1.174400000309106E-2</c:v>
                </c:pt>
                <c:pt idx="119">
                  <c:v>3.5140999971190467E-3</c:v>
                </c:pt>
                <c:pt idx="121">
                  <c:v>4.3140999987372197E-3</c:v>
                </c:pt>
                <c:pt idx="122">
                  <c:v>6.514100001368206E-3</c:v>
                </c:pt>
                <c:pt idx="123">
                  <c:v>1.3759999274043366E-4</c:v>
                </c:pt>
                <c:pt idx="124">
                  <c:v>2.1085000043967739E-3</c:v>
                </c:pt>
                <c:pt idx="125">
                  <c:v>2.7556299995922018E-2</c:v>
                </c:pt>
                <c:pt idx="126">
                  <c:v>-6.5943000008701347E-3</c:v>
                </c:pt>
                <c:pt idx="127">
                  <c:v>1.8029199993179645E-2</c:v>
                </c:pt>
                <c:pt idx="128">
                  <c:v>-1.4297100002295338E-2</c:v>
                </c:pt>
                <c:pt idx="129">
                  <c:v>-1.4297100002295338E-2</c:v>
                </c:pt>
                <c:pt idx="130">
                  <c:v>2.8677799993602093E-2</c:v>
                </c:pt>
                <c:pt idx="131">
                  <c:v>1.7499200002930593E-2</c:v>
                </c:pt>
                <c:pt idx="132">
                  <c:v>1.8036499997833744E-2</c:v>
                </c:pt>
                <c:pt idx="137">
                  <c:v>2.8848800000560004E-2</c:v>
                </c:pt>
                <c:pt idx="138">
                  <c:v>2.097029999276856E-2</c:v>
                </c:pt>
                <c:pt idx="139">
                  <c:v>1.9564700000046287E-2</c:v>
                </c:pt>
                <c:pt idx="140">
                  <c:v>1.4845899997453671E-2</c:v>
                </c:pt>
                <c:pt idx="141">
                  <c:v>1.5494499995838851E-2</c:v>
                </c:pt>
                <c:pt idx="142">
                  <c:v>1.1603999999351799E-2</c:v>
                </c:pt>
                <c:pt idx="143">
                  <c:v>4.4253999949432909E-3</c:v>
                </c:pt>
                <c:pt idx="144">
                  <c:v>1.759930000116583E-2</c:v>
                </c:pt>
                <c:pt idx="145">
                  <c:v>1.0963799999444745E-2</c:v>
                </c:pt>
                <c:pt idx="146">
                  <c:v>-1.2119000020902604E-3</c:v>
                </c:pt>
                <c:pt idx="147">
                  <c:v>1.0663699998985976E-2</c:v>
                </c:pt>
                <c:pt idx="148">
                  <c:v>3.9609000014024787E-3</c:v>
                </c:pt>
                <c:pt idx="150">
                  <c:v>9.644799996749498E-3</c:v>
                </c:pt>
                <c:pt idx="153">
                  <c:v>1.6553499997826293E-2</c:v>
                </c:pt>
                <c:pt idx="154">
                  <c:v>1.6553499997826293E-2</c:v>
                </c:pt>
                <c:pt idx="155">
                  <c:v>5.3778000001329929E-3</c:v>
                </c:pt>
                <c:pt idx="159">
                  <c:v>7.9562000028090551E-3</c:v>
                </c:pt>
                <c:pt idx="160">
                  <c:v>1.6052599996328354E-2</c:v>
                </c:pt>
                <c:pt idx="161">
                  <c:v>9.7011999969254248E-3</c:v>
                </c:pt>
                <c:pt idx="162">
                  <c:v>1.134979999915231E-2</c:v>
                </c:pt>
                <c:pt idx="163">
                  <c:v>2.8357999981380999E-3</c:v>
                </c:pt>
                <c:pt idx="168">
                  <c:v>5.9831999969901517E-3</c:v>
                </c:pt>
                <c:pt idx="171">
                  <c:v>-1.6512000001966953E-3</c:v>
                </c:pt>
                <c:pt idx="173">
                  <c:v>6.6208999996888451E-3</c:v>
                </c:pt>
                <c:pt idx="176">
                  <c:v>3.4685300001001451E-2</c:v>
                </c:pt>
                <c:pt idx="180">
                  <c:v>7.4514000007184222E-3</c:v>
                </c:pt>
                <c:pt idx="181">
                  <c:v>6.3470000022789463E-3</c:v>
                </c:pt>
                <c:pt idx="184">
                  <c:v>8.514699999068398E-3</c:v>
                </c:pt>
                <c:pt idx="197">
                  <c:v>1.2929800002893899E-2</c:v>
                </c:pt>
                <c:pt idx="202">
                  <c:v>9.7497500028111972E-3</c:v>
                </c:pt>
                <c:pt idx="214">
                  <c:v>1.064790000236826E-2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61-4B90-B187-3A0B0C568CA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Active!$F$21:$F$2804</c:f>
              <c:numCache>
                <c:formatCode>General</c:formatCode>
                <c:ptCount val="278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Active!$J$21:$J$2804</c:f>
              <c:numCache>
                <c:formatCode>General</c:formatCode>
                <c:ptCount val="2784"/>
                <c:pt idx="120">
                  <c:v>3.914100001566112E-3</c:v>
                </c:pt>
                <c:pt idx="121">
                  <c:v>4.3140999987372197E-3</c:v>
                </c:pt>
                <c:pt idx="133">
                  <c:v>6.8300999992061406E-3</c:v>
                </c:pt>
                <c:pt idx="134">
                  <c:v>8.3301000049686991E-3</c:v>
                </c:pt>
                <c:pt idx="135">
                  <c:v>8.3301000049686991E-3</c:v>
                </c:pt>
                <c:pt idx="136">
                  <c:v>9.0301000018371269E-3</c:v>
                </c:pt>
                <c:pt idx="149">
                  <c:v>4.001000001153443E-3</c:v>
                </c:pt>
                <c:pt idx="151">
                  <c:v>1.0456299998622853E-2</c:v>
                </c:pt>
                <c:pt idx="152">
                  <c:v>9.2805999956908636E-3</c:v>
                </c:pt>
                <c:pt idx="156">
                  <c:v>5.7346999965375289E-3</c:v>
                </c:pt>
                <c:pt idx="157">
                  <c:v>1.7634700001508463E-2</c:v>
                </c:pt>
                <c:pt idx="158">
                  <c:v>1.5231899997161236E-2</c:v>
                </c:pt>
                <c:pt idx="164">
                  <c:v>1.2940499997057486E-2</c:v>
                </c:pt>
                <c:pt idx="174">
                  <c:v>1.5345199994044378E-2</c:v>
                </c:pt>
                <c:pt idx="178">
                  <c:v>1.0083299996040296E-2</c:v>
                </c:pt>
                <c:pt idx="185">
                  <c:v>1.033859999733977E-2</c:v>
                </c:pt>
                <c:pt idx="188">
                  <c:v>9.3591999975615181E-3</c:v>
                </c:pt>
                <c:pt idx="190">
                  <c:v>1.3043049999396317E-2</c:v>
                </c:pt>
                <c:pt idx="212">
                  <c:v>1.0774200003652368E-2</c:v>
                </c:pt>
                <c:pt idx="213">
                  <c:v>1.1574200005270541E-2</c:v>
                </c:pt>
                <c:pt idx="226">
                  <c:v>6.8553999954019673E-3</c:v>
                </c:pt>
                <c:pt idx="232">
                  <c:v>1.3991999992867932E-2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061-4B90-B187-3A0B0C568CA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Active!$F$21:$F$2804</c:f>
              <c:numCache>
                <c:formatCode>General</c:formatCode>
                <c:ptCount val="278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Active!$K$21:$K$2804</c:f>
              <c:numCache>
                <c:formatCode>General</c:formatCode>
                <c:ptCount val="2784"/>
                <c:pt idx="165">
                  <c:v>9.361299999000039E-3</c:v>
                </c:pt>
                <c:pt idx="166">
                  <c:v>6.5111000003525987E-3</c:v>
                </c:pt>
                <c:pt idx="167">
                  <c:v>5.1605000044219196E-3</c:v>
                </c:pt>
                <c:pt idx="170">
                  <c:v>1.0753200003819074E-2</c:v>
                </c:pt>
                <c:pt idx="172">
                  <c:v>-1.6211999973165803E-3</c:v>
                </c:pt>
                <c:pt idx="175">
                  <c:v>1.068459999805782E-2</c:v>
                </c:pt>
                <c:pt idx="177">
                  <c:v>3.5215299998526461E-2</c:v>
                </c:pt>
                <c:pt idx="179">
                  <c:v>3.676899999845773E-3</c:v>
                </c:pt>
                <c:pt idx="182">
                  <c:v>6.4970000021276064E-3</c:v>
                </c:pt>
                <c:pt idx="183">
                  <c:v>8.3206999988760799E-3</c:v>
                </c:pt>
                <c:pt idx="186">
                  <c:v>1.1634599999524653E-2</c:v>
                </c:pt>
                <c:pt idx="187">
                  <c:v>8.6603999952785671E-3</c:v>
                </c:pt>
                <c:pt idx="189">
                  <c:v>9.1069999980391003E-3</c:v>
                </c:pt>
                <c:pt idx="191">
                  <c:v>7.6552000027731992E-3</c:v>
                </c:pt>
                <c:pt idx="192">
                  <c:v>9.0654999949038029E-3</c:v>
                </c:pt>
                <c:pt idx="193">
                  <c:v>8.5423999989870936E-3</c:v>
                </c:pt>
                <c:pt idx="194">
                  <c:v>7.5027999992016703E-3</c:v>
                </c:pt>
                <c:pt idx="195">
                  <c:v>1.3385199999902397E-2</c:v>
                </c:pt>
                <c:pt idx="196">
                  <c:v>1.3415200002782512E-2</c:v>
                </c:pt>
                <c:pt idx="198">
                  <c:v>9.7453000053064898E-3</c:v>
                </c:pt>
                <c:pt idx="199">
                  <c:v>9.9432999995769933E-3</c:v>
                </c:pt>
                <c:pt idx="200">
                  <c:v>8.3225999987917021E-3</c:v>
                </c:pt>
                <c:pt idx="201">
                  <c:v>8.2065999959013425E-3</c:v>
                </c:pt>
                <c:pt idx="203">
                  <c:v>9.7997499979101121E-3</c:v>
                </c:pt>
                <c:pt idx="204">
                  <c:v>1.3708499995118473E-2</c:v>
                </c:pt>
                <c:pt idx="205">
                  <c:v>1.3908499997342005E-2</c:v>
                </c:pt>
                <c:pt idx="206">
                  <c:v>1.9595550002122764E-2</c:v>
                </c:pt>
                <c:pt idx="207">
                  <c:v>1.3982600001327228E-2</c:v>
                </c:pt>
                <c:pt idx="208">
                  <c:v>1.3455699998303317E-2</c:v>
                </c:pt>
                <c:pt idx="209">
                  <c:v>1.2177799995697569E-2</c:v>
                </c:pt>
                <c:pt idx="210">
                  <c:v>9.2871499946340919E-3</c:v>
                </c:pt>
                <c:pt idx="211">
                  <c:v>1.1499300002469681E-2</c:v>
                </c:pt>
                <c:pt idx="215">
                  <c:v>1.1222799999814015E-2</c:v>
                </c:pt>
                <c:pt idx="216">
                  <c:v>9.7956999961752445E-3</c:v>
                </c:pt>
                <c:pt idx="217">
                  <c:v>9.5916999998735264E-3</c:v>
                </c:pt>
                <c:pt idx="218">
                  <c:v>1.1865700005728286E-2</c:v>
                </c:pt>
                <c:pt idx="219">
                  <c:v>1.4537399998516776E-2</c:v>
                </c:pt>
                <c:pt idx="220">
                  <c:v>1.448599999275757E-2</c:v>
                </c:pt>
                <c:pt idx="221">
                  <c:v>1.1243950000789482E-2</c:v>
                </c:pt>
                <c:pt idx="222">
                  <c:v>1.2055300001520663E-2</c:v>
                </c:pt>
                <c:pt idx="223">
                  <c:v>1.0295400003087707E-2</c:v>
                </c:pt>
                <c:pt idx="224">
                  <c:v>1.198619999922812E-2</c:v>
                </c:pt>
                <c:pt idx="225">
                  <c:v>1.1984199998551048E-2</c:v>
                </c:pt>
                <c:pt idx="227">
                  <c:v>6.3302999988081865E-3</c:v>
                </c:pt>
                <c:pt idx="228">
                  <c:v>7.4303000001236796E-3</c:v>
                </c:pt>
                <c:pt idx="229">
                  <c:v>6.4549999951850623E-3</c:v>
                </c:pt>
                <c:pt idx="230">
                  <c:v>4.6537999951397069E-3</c:v>
                </c:pt>
                <c:pt idx="231">
                  <c:v>8.2537999987835065E-3</c:v>
                </c:pt>
                <c:pt idx="233">
                  <c:v>7.5914999979431741E-3</c:v>
                </c:pt>
                <c:pt idx="234">
                  <c:v>7.6914999954169616E-3</c:v>
                </c:pt>
                <c:pt idx="235">
                  <c:v>6.6129999977420084E-3</c:v>
                </c:pt>
                <c:pt idx="236">
                  <c:v>6.7579999958979897E-3</c:v>
                </c:pt>
                <c:pt idx="237">
                  <c:v>8.7551999968127348E-3</c:v>
                </c:pt>
                <c:pt idx="238">
                  <c:v>5.2466999986791052E-3</c:v>
                </c:pt>
                <c:pt idx="239">
                  <c:v>5.6832999980542809E-3</c:v>
                </c:pt>
                <c:pt idx="240">
                  <c:v>6.5545000034035183E-3</c:v>
                </c:pt>
                <c:pt idx="241">
                  <c:v>5.9261999995214865E-3</c:v>
                </c:pt>
                <c:pt idx="242">
                  <c:v>5.9261999995214865E-3</c:v>
                </c:pt>
                <c:pt idx="243">
                  <c:v>5.9261999995214865E-3</c:v>
                </c:pt>
                <c:pt idx="244">
                  <c:v>5.3962999954819679E-3</c:v>
                </c:pt>
                <c:pt idx="245">
                  <c:v>5.3962999954819679E-3</c:v>
                </c:pt>
                <c:pt idx="246">
                  <c:v>5.3962999954819679E-3</c:v>
                </c:pt>
                <c:pt idx="247">
                  <c:v>9.0160999970976263E-3</c:v>
                </c:pt>
                <c:pt idx="248">
                  <c:v>8.990599999378901E-3</c:v>
                </c:pt>
                <c:pt idx="249">
                  <c:v>7.2638999990886077E-3</c:v>
                </c:pt>
                <c:pt idx="250">
                  <c:v>8.8639000023249537E-3</c:v>
                </c:pt>
                <c:pt idx="251">
                  <c:v>8.761899996898137E-3</c:v>
                </c:pt>
                <c:pt idx="252">
                  <c:v>6.9367999967653304E-3</c:v>
                </c:pt>
                <c:pt idx="253">
                  <c:v>5.2762999985134229E-3</c:v>
                </c:pt>
                <c:pt idx="254">
                  <c:v>1.1513449928315822E-2</c:v>
                </c:pt>
                <c:pt idx="255">
                  <c:v>8.4276999987196177E-3</c:v>
                </c:pt>
                <c:pt idx="256">
                  <c:v>9.467299998505041E-3</c:v>
                </c:pt>
                <c:pt idx="257">
                  <c:v>8.9978000032715499E-3</c:v>
                </c:pt>
                <c:pt idx="258">
                  <c:v>9.0727000060724095E-3</c:v>
                </c:pt>
                <c:pt idx="259">
                  <c:v>7.1161000014399178E-3</c:v>
                </c:pt>
                <c:pt idx="260">
                  <c:v>8.6140999992494471E-3</c:v>
                </c:pt>
                <c:pt idx="261">
                  <c:v>8.7748999940231442E-3</c:v>
                </c:pt>
                <c:pt idx="262">
                  <c:v>8.1497999926796183E-3</c:v>
                </c:pt>
                <c:pt idx="263">
                  <c:v>2.8663999983109534E-3</c:v>
                </c:pt>
                <c:pt idx="264">
                  <c:v>4.2945000022882596E-3</c:v>
                </c:pt>
                <c:pt idx="265">
                  <c:v>3.4102999998140149E-3</c:v>
                </c:pt>
                <c:pt idx="266">
                  <c:v>3.2938999938778579E-3</c:v>
                </c:pt>
                <c:pt idx="267">
                  <c:v>1.9606999994721264E-3</c:v>
                </c:pt>
                <c:pt idx="268">
                  <c:v>1.2900000001536682E-3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061-4B90-B187-3A0B0C568CA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Active!$L$21:$L$284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061-4B90-B187-3A0B0C568C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Active!$M$21:$M$284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061-4B90-B187-3A0B0C568C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Active!$N$21:$N$284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061-4B90-B187-3A0B0C568C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Active!$F$21:$F$2004</c:f>
              <c:numCache>
                <c:formatCode>General</c:formatCode>
                <c:ptCount val="198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Active!$O$21:$O$2004</c:f>
              <c:numCache>
                <c:formatCode>General</c:formatCode>
                <c:ptCount val="1984"/>
                <c:pt idx="24">
                  <c:v>3.0114486008633205E-2</c:v>
                </c:pt>
                <c:pt idx="25">
                  <c:v>3.0034403975653882E-2</c:v>
                </c:pt>
                <c:pt idx="26">
                  <c:v>2.9494903964003713E-2</c:v>
                </c:pt>
                <c:pt idx="27">
                  <c:v>2.93670537008262E-2</c:v>
                </c:pt>
                <c:pt idx="28">
                  <c:v>2.8776975563083826E-2</c:v>
                </c:pt>
                <c:pt idx="66">
                  <c:v>2.5839229405895021E-2</c:v>
                </c:pt>
                <c:pt idx="78">
                  <c:v>2.540369554232327E-2</c:v>
                </c:pt>
                <c:pt idx="79">
                  <c:v>2.540369554232327E-2</c:v>
                </c:pt>
                <c:pt idx="80">
                  <c:v>2.540369554232327E-2</c:v>
                </c:pt>
                <c:pt idx="120">
                  <c:v>2.2857929862349038E-2</c:v>
                </c:pt>
                <c:pt idx="143">
                  <c:v>2.0558030073100794E-2</c:v>
                </c:pt>
                <c:pt idx="144">
                  <c:v>1.9840101672180907E-2</c:v>
                </c:pt>
                <c:pt idx="145">
                  <c:v>1.9692582137745315E-2</c:v>
                </c:pt>
                <c:pt idx="146">
                  <c:v>1.9682747502116273E-2</c:v>
                </c:pt>
                <c:pt idx="147">
                  <c:v>1.9339940203046899E-2</c:v>
                </c:pt>
                <c:pt idx="148">
                  <c:v>1.9300601660530738E-2</c:v>
                </c:pt>
                <c:pt idx="149">
                  <c:v>1.8810274827025769E-2</c:v>
                </c:pt>
                <c:pt idx="150">
                  <c:v>1.8723168054311418E-2</c:v>
                </c:pt>
                <c:pt idx="151">
                  <c:v>1.8533500081465655E-2</c:v>
                </c:pt>
                <c:pt idx="152">
                  <c:v>1.8523665445836616E-2</c:v>
                </c:pt>
                <c:pt idx="153">
                  <c:v>1.8494161538949498E-2</c:v>
                </c:pt>
                <c:pt idx="154">
                  <c:v>1.8494161538949498E-2</c:v>
                </c:pt>
                <c:pt idx="155">
                  <c:v>1.8484326903320455E-2</c:v>
                </c:pt>
                <c:pt idx="156">
                  <c:v>1.8230031324912438E-2</c:v>
                </c:pt>
                <c:pt idx="157">
                  <c:v>1.8230031324912438E-2</c:v>
                </c:pt>
                <c:pt idx="158">
                  <c:v>1.8190692782396278E-2</c:v>
                </c:pt>
                <c:pt idx="159">
                  <c:v>1.8180858146767238E-2</c:v>
                </c:pt>
                <c:pt idx="160">
                  <c:v>1.8130280020675037E-2</c:v>
                </c:pt>
                <c:pt idx="161">
                  <c:v>1.8110610749416955E-2</c:v>
                </c:pt>
                <c:pt idx="162">
                  <c:v>1.8090941478158876E-2</c:v>
                </c:pt>
                <c:pt idx="163">
                  <c:v>1.7894248765578089E-2</c:v>
                </c:pt>
                <c:pt idx="164">
                  <c:v>1.6204096385330293E-2</c:v>
                </c:pt>
                <c:pt idx="165">
                  <c:v>1.5091377611301819E-2</c:v>
                </c:pt>
                <c:pt idx="166">
                  <c:v>1.5088567715407808E-2</c:v>
                </c:pt>
                <c:pt idx="167">
                  <c:v>1.5080138027725775E-2</c:v>
                </c:pt>
                <c:pt idx="168">
                  <c:v>1.5047824224944646E-2</c:v>
                </c:pt>
                <c:pt idx="169">
                  <c:v>1.5030262375607074E-2</c:v>
                </c:pt>
                <c:pt idx="170">
                  <c:v>1.490732943024408E-2</c:v>
                </c:pt>
                <c:pt idx="171">
                  <c:v>1.4564522131174703E-2</c:v>
                </c:pt>
                <c:pt idx="172">
                  <c:v>1.4564522131174703E-2</c:v>
                </c:pt>
                <c:pt idx="173">
                  <c:v>1.4523778640711539E-2</c:v>
                </c:pt>
                <c:pt idx="174">
                  <c:v>1.45139440050825E-2</c:v>
                </c:pt>
                <c:pt idx="175">
                  <c:v>1.43650195226999E-2</c:v>
                </c:pt>
                <c:pt idx="176">
                  <c:v>1.4023617171577529E-2</c:v>
                </c:pt>
                <c:pt idx="177">
                  <c:v>1.4023617171577529E-2</c:v>
                </c:pt>
                <c:pt idx="178">
                  <c:v>1.3995518212637415E-2</c:v>
                </c:pt>
                <c:pt idx="179">
                  <c:v>1.3905601544029055E-2</c:v>
                </c:pt>
                <c:pt idx="180">
                  <c:v>1.3898576804294027E-2</c:v>
                </c:pt>
                <c:pt idx="181">
                  <c:v>1.3836759094625778E-2</c:v>
                </c:pt>
                <c:pt idx="182">
                  <c:v>1.3836759094625778E-2</c:v>
                </c:pt>
                <c:pt idx="183">
                  <c:v>1.3818494771314704E-2</c:v>
                </c:pt>
                <c:pt idx="184">
                  <c:v>1.3734197894494366E-2</c:v>
                </c:pt>
                <c:pt idx="185">
                  <c:v>1.3718743467077302E-2</c:v>
                </c:pt>
                <c:pt idx="186">
                  <c:v>1.3662545549197077E-2</c:v>
                </c:pt>
                <c:pt idx="187">
                  <c:v>1.332254814602171E-2</c:v>
                </c:pt>
                <c:pt idx="188">
                  <c:v>1.3305688770657643E-2</c:v>
                </c:pt>
                <c:pt idx="189">
                  <c:v>1.3274779915823518E-2</c:v>
                </c:pt>
                <c:pt idx="190">
                  <c:v>1.3254408170591937E-2</c:v>
                </c:pt>
                <c:pt idx="191">
                  <c:v>1.3249490852777417E-2</c:v>
                </c:pt>
                <c:pt idx="192">
                  <c:v>1.3042963504567587E-2</c:v>
                </c:pt>
                <c:pt idx="193">
                  <c:v>1.2648173131459E-2</c:v>
                </c:pt>
                <c:pt idx="194">
                  <c:v>1.2513298128546457E-2</c:v>
                </c:pt>
                <c:pt idx="195">
                  <c:v>1.2266027289873464E-2</c:v>
                </c:pt>
                <c:pt idx="196">
                  <c:v>1.2266027289873464E-2</c:v>
                </c:pt>
                <c:pt idx="197">
                  <c:v>1.2190160100735158E-2</c:v>
                </c:pt>
                <c:pt idx="198">
                  <c:v>1.2056690045769623E-2</c:v>
                </c:pt>
                <c:pt idx="199">
                  <c:v>1.2028591086829511E-2</c:v>
                </c:pt>
                <c:pt idx="200">
                  <c:v>1.1948509053850188E-2</c:v>
                </c:pt>
                <c:pt idx="201">
                  <c:v>1.186421217702985E-2</c:v>
                </c:pt>
                <c:pt idx="202">
                  <c:v>1.1592354749284257E-2</c:v>
                </c:pt>
                <c:pt idx="203">
                  <c:v>1.1592354749284257E-2</c:v>
                </c:pt>
                <c:pt idx="204">
                  <c:v>1.1539669201271545E-2</c:v>
                </c:pt>
                <c:pt idx="205">
                  <c:v>1.1539669201271545E-2</c:v>
                </c:pt>
                <c:pt idx="206">
                  <c:v>1.1533346935510018E-2</c:v>
                </c:pt>
                <c:pt idx="207">
                  <c:v>1.1527024669748493E-2</c:v>
                </c:pt>
                <c:pt idx="208">
                  <c:v>1.1500330658755387E-2</c:v>
                </c:pt>
                <c:pt idx="209">
                  <c:v>1.1459587168292222E-2</c:v>
                </c:pt>
                <c:pt idx="210">
                  <c:v>1.1415331307961544E-2</c:v>
                </c:pt>
                <c:pt idx="211">
                  <c:v>1.1410413990147025E-2</c:v>
                </c:pt>
                <c:pt idx="212">
                  <c:v>1.1409009042200019E-2</c:v>
                </c:pt>
                <c:pt idx="213">
                  <c:v>1.1409009042200019E-2</c:v>
                </c:pt>
                <c:pt idx="214">
                  <c:v>1.1390744718888946E-2</c:v>
                </c:pt>
                <c:pt idx="215">
                  <c:v>1.1389339770941941E-2</c:v>
                </c:pt>
                <c:pt idx="216">
                  <c:v>1.1359835864054821E-2</c:v>
                </c:pt>
                <c:pt idx="217">
                  <c:v>1.1303637946174595E-2</c:v>
                </c:pt>
                <c:pt idx="218">
                  <c:v>1.0938351479953128E-2</c:v>
                </c:pt>
                <c:pt idx="219">
                  <c:v>1.089198819770194E-2</c:v>
                </c:pt>
                <c:pt idx="220">
                  <c:v>1.0872318926443861E-2</c:v>
                </c:pt>
                <c:pt idx="221">
                  <c:v>1.0808393794855105E-2</c:v>
                </c:pt>
                <c:pt idx="222">
                  <c:v>1.0792236893464539E-2</c:v>
                </c:pt>
                <c:pt idx="223">
                  <c:v>1.0301910059959569E-2</c:v>
                </c:pt>
                <c:pt idx="224">
                  <c:v>1.0172654848835051E-2</c:v>
                </c:pt>
                <c:pt idx="225">
                  <c:v>1.0144555889894939E-2</c:v>
                </c:pt>
                <c:pt idx="226">
                  <c:v>9.7399308811573111E-3</c:v>
                </c:pt>
                <c:pt idx="227">
                  <c:v>9.7385259332103055E-3</c:v>
                </c:pt>
                <c:pt idx="228">
                  <c:v>9.7385259332103055E-3</c:v>
                </c:pt>
                <c:pt idx="229">
                  <c:v>9.7343110893692887E-3</c:v>
                </c:pt>
                <c:pt idx="230">
                  <c:v>9.7174517140052215E-3</c:v>
                </c:pt>
                <c:pt idx="231">
                  <c:v>9.7174517140052215E-3</c:v>
                </c:pt>
                <c:pt idx="232">
                  <c:v>9.5516678562585534E-3</c:v>
                </c:pt>
                <c:pt idx="233">
                  <c:v>9.1934061297721144E-3</c:v>
                </c:pt>
                <c:pt idx="234">
                  <c:v>9.1934061297721144E-3</c:v>
                </c:pt>
                <c:pt idx="235">
                  <c:v>9.1442329516269148E-3</c:v>
                </c:pt>
                <c:pt idx="236">
                  <c:v>9.0739855542766347E-3</c:v>
                </c:pt>
                <c:pt idx="237">
                  <c:v>9.0346470117604744E-3</c:v>
                </c:pt>
                <c:pt idx="238">
                  <c:v>8.5639894495135836E-3</c:v>
                </c:pt>
                <c:pt idx="239">
                  <c:v>8.3757264246148259E-3</c:v>
                </c:pt>
                <c:pt idx="240">
                  <c:v>7.971101415877202E-3</c:v>
                </c:pt>
                <c:pt idx="241">
                  <c:v>7.9247381336260136E-3</c:v>
                </c:pt>
                <c:pt idx="242">
                  <c:v>7.9247381336260136E-3</c:v>
                </c:pt>
                <c:pt idx="243">
                  <c:v>7.9247381336260136E-3</c:v>
                </c:pt>
                <c:pt idx="244">
                  <c:v>7.8558956842227391E-3</c:v>
                </c:pt>
                <c:pt idx="245">
                  <c:v>7.8558956842227391E-3</c:v>
                </c:pt>
                <c:pt idx="246">
                  <c:v>7.8558956842227391E-3</c:v>
                </c:pt>
                <c:pt idx="247">
                  <c:v>7.4316014042270333E-3</c:v>
                </c:pt>
                <c:pt idx="248">
                  <c:v>7.4245766644920053E-3</c:v>
                </c:pt>
                <c:pt idx="249">
                  <c:v>7.40069254939291E-3</c:v>
                </c:pt>
                <c:pt idx="250">
                  <c:v>7.40069254939291E-3</c:v>
                </c:pt>
                <c:pt idx="251">
                  <c:v>7.3725935904527945E-3</c:v>
                </c:pt>
                <c:pt idx="252">
                  <c:v>7.3711886425057889E-3</c:v>
                </c:pt>
                <c:pt idx="253">
                  <c:v>7.1534217107199136E-3</c:v>
                </c:pt>
                <c:pt idx="254">
                  <c:v>6.7972674061539846E-3</c:v>
                </c:pt>
                <c:pt idx="255">
                  <c:v>6.7516065978763008E-3</c:v>
                </c:pt>
                <c:pt idx="256">
                  <c:v>6.7459868060882784E-3</c:v>
                </c:pt>
                <c:pt idx="257">
                  <c:v>6.1207849696707645E-3</c:v>
                </c:pt>
                <c:pt idx="258">
                  <c:v>6.1193800217237589E-3</c:v>
                </c:pt>
                <c:pt idx="259">
                  <c:v>6.0266534572213856E-3</c:v>
                </c:pt>
                <c:pt idx="260">
                  <c:v>5.9985544982812736E-3</c:v>
                </c:pt>
                <c:pt idx="261">
                  <c:v>5.44781490305506E-3</c:v>
                </c:pt>
                <c:pt idx="262">
                  <c:v>5.4464099551080544E-3</c:v>
                </c:pt>
                <c:pt idx="263">
                  <c:v>4.9771573408081658E-3</c:v>
                </c:pt>
                <c:pt idx="264">
                  <c:v>4.3182367536625174E-3</c:v>
                </c:pt>
                <c:pt idx="265">
                  <c:v>3.8377445557865875E-3</c:v>
                </c:pt>
                <c:pt idx="266">
                  <c:v>3.6073330924776617E-3</c:v>
                </c:pt>
                <c:pt idx="267">
                  <c:v>3.1408903740717878E-3</c:v>
                </c:pt>
                <c:pt idx="268">
                  <c:v>2.4988291622902066E-3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061-4B90-B187-3A0B0C568CA7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Active!$F$21:$F$2804</c:f>
              <c:numCache>
                <c:formatCode>General</c:formatCode>
                <c:ptCount val="278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Active!$P$21:$P$2804</c:f>
              <c:numCache>
                <c:formatCode>0.00E+00</c:formatCode>
                <c:ptCount val="2784"/>
                <c:pt idx="0">
                  <c:v>-0.24836488507038917</c:v>
                </c:pt>
                <c:pt idx="1">
                  <c:v>-0.24164390058290941</c:v>
                </c:pt>
                <c:pt idx="2">
                  <c:v>-0.21904022540174872</c:v>
                </c:pt>
                <c:pt idx="3">
                  <c:v>-0.21635981169634866</c:v>
                </c:pt>
                <c:pt idx="4">
                  <c:v>-0.19760356589551936</c:v>
                </c:pt>
                <c:pt idx="5">
                  <c:v>-0.19702569648878884</c:v>
                </c:pt>
                <c:pt idx="6">
                  <c:v>-0.11622233774505948</c:v>
                </c:pt>
                <c:pt idx="7">
                  <c:v>-0.11586034599356743</c:v>
                </c:pt>
                <c:pt idx="8">
                  <c:v>-0.11549886289111438</c:v>
                </c:pt>
                <c:pt idx="9">
                  <c:v>-0.10464390044467686</c:v>
                </c:pt>
                <c:pt idx="10">
                  <c:v>-9.4929764579002207E-2</c:v>
                </c:pt>
                <c:pt idx="11">
                  <c:v>-9.0426591040920129E-2</c:v>
                </c:pt>
                <c:pt idx="12">
                  <c:v>-9.0415019702174387E-2</c:v>
                </c:pt>
                <c:pt idx="13">
                  <c:v>-3.2720864241341248E-2</c:v>
                </c:pt>
                <c:pt idx="14">
                  <c:v>-3.2720864241341248E-2</c:v>
                </c:pt>
                <c:pt idx="15">
                  <c:v>-2.8615415709654167E-2</c:v>
                </c:pt>
                <c:pt idx="16">
                  <c:v>-2.0650204279100588E-2</c:v>
                </c:pt>
                <c:pt idx="17">
                  <c:v>-1.9767129747333193E-2</c:v>
                </c:pt>
                <c:pt idx="18">
                  <c:v>-1.968271707370248E-2</c:v>
                </c:pt>
                <c:pt idx="19">
                  <c:v>-1.968271707370248E-2</c:v>
                </c:pt>
                <c:pt idx="20">
                  <c:v>-1.9676228332624779E-2</c:v>
                </c:pt>
                <c:pt idx="21">
                  <c:v>-1.9676228332624779E-2</c:v>
                </c:pt>
                <c:pt idx="22">
                  <c:v>-1.9404287062058073E-2</c:v>
                </c:pt>
                <c:pt idx="23">
                  <c:v>-1.9320346705392167E-2</c:v>
                </c:pt>
                <c:pt idx="24">
                  <c:v>-1.2523114089915421E-2</c:v>
                </c:pt>
                <c:pt idx="25">
                  <c:v>-1.2197632881993388E-2</c:v>
                </c:pt>
                <c:pt idx="26">
                  <c:v>-1.0059851472207209E-2</c:v>
                </c:pt>
                <c:pt idx="27">
                  <c:v>-9.5672637250934032E-3</c:v>
                </c:pt>
                <c:pt idx="28">
                  <c:v>-7.3634031525541569E-3</c:v>
                </c:pt>
                <c:pt idx="29">
                  <c:v>-3.9073923520490305E-3</c:v>
                </c:pt>
                <c:pt idx="30">
                  <c:v>-3.7403515453454691E-3</c:v>
                </c:pt>
                <c:pt idx="31">
                  <c:v>-3.6802378927079547E-3</c:v>
                </c:pt>
                <c:pt idx="32">
                  <c:v>-3.2260461825850536E-3</c:v>
                </c:pt>
                <c:pt idx="33">
                  <c:v>-3.1623302424089068E-3</c:v>
                </c:pt>
                <c:pt idx="34">
                  <c:v>-3.0035967268549749E-3</c:v>
                </c:pt>
                <c:pt idx="35">
                  <c:v>-2.072273648768008E-3</c:v>
                </c:pt>
                <c:pt idx="36">
                  <c:v>-1.8231949002003982E-3</c:v>
                </c:pt>
                <c:pt idx="37">
                  <c:v>-1.8231949002003982E-3</c:v>
                </c:pt>
                <c:pt idx="38">
                  <c:v>-1.8231949002003982E-3</c:v>
                </c:pt>
                <c:pt idx="39">
                  <c:v>-1.6107594724261588E-3</c:v>
                </c:pt>
                <c:pt idx="40">
                  <c:v>-1.5805387164324525E-3</c:v>
                </c:pt>
                <c:pt idx="41">
                  <c:v>-1.5503497510036858E-3</c:v>
                </c:pt>
                <c:pt idx="42">
                  <c:v>-1.5503497510036858E-3</c:v>
                </c:pt>
                <c:pt idx="43">
                  <c:v>-1.3099824879113607E-3</c:v>
                </c:pt>
                <c:pt idx="44">
                  <c:v>-1.0123845598904798E-3</c:v>
                </c:pt>
                <c:pt idx="45">
                  <c:v>-1.0123845598904798E-3</c:v>
                </c:pt>
                <c:pt idx="46">
                  <c:v>1.030552988397575E-7</c:v>
                </c:pt>
                <c:pt idx="47">
                  <c:v>1.030552988397575E-7</c:v>
                </c:pt>
                <c:pt idx="48">
                  <c:v>1.1381957763451933E-4</c:v>
                </c:pt>
                <c:pt idx="49">
                  <c:v>1.1381957763451933E-4</c:v>
                </c:pt>
                <c:pt idx="50">
                  <c:v>1.4216923180609126E-4</c:v>
                </c:pt>
                <c:pt idx="51">
                  <c:v>1.4216923180609126E-4</c:v>
                </c:pt>
                <c:pt idx="52">
                  <c:v>1.4621658725387182E-4</c:v>
                </c:pt>
                <c:pt idx="53">
                  <c:v>1.6644363268718097E-4</c:v>
                </c:pt>
                <c:pt idx="54">
                  <c:v>2.8344064418986354E-4</c:v>
                </c:pt>
                <c:pt idx="55">
                  <c:v>2.8344064418986354E-4</c:v>
                </c:pt>
                <c:pt idx="56">
                  <c:v>2.8344064418986354E-4</c:v>
                </c:pt>
                <c:pt idx="57">
                  <c:v>2.8746529209125894E-4</c:v>
                </c:pt>
                <c:pt idx="58">
                  <c:v>3.1561966136391893E-4</c:v>
                </c:pt>
                <c:pt idx="59">
                  <c:v>5.6359917658697E-4</c:v>
                </c:pt>
                <c:pt idx="60">
                  <c:v>6.5099242857058232E-4</c:v>
                </c:pt>
                <c:pt idx="61">
                  <c:v>1.5152980413162763E-3</c:v>
                </c:pt>
                <c:pt idx="62">
                  <c:v>1.5152980413162763E-3</c:v>
                </c:pt>
                <c:pt idx="63">
                  <c:v>1.5152980413162763E-3</c:v>
                </c:pt>
                <c:pt idx="64">
                  <c:v>1.5420309181852277E-3</c:v>
                </c:pt>
                <c:pt idx="65">
                  <c:v>1.754749472799027E-3</c:v>
                </c:pt>
                <c:pt idx="66">
                  <c:v>1.9054456264071859E-3</c:v>
                </c:pt>
                <c:pt idx="67">
                  <c:v>1.9392092034267953E-3</c:v>
                </c:pt>
                <c:pt idx="68">
                  <c:v>1.9392092034267953E-3</c:v>
                </c:pt>
                <c:pt idx="69">
                  <c:v>2.0476454699422863E-3</c:v>
                </c:pt>
                <c:pt idx="70">
                  <c:v>2.0606957057933495E-3</c:v>
                </c:pt>
                <c:pt idx="71">
                  <c:v>2.1777901845973485E-3</c:v>
                </c:pt>
                <c:pt idx="72">
                  <c:v>2.255495526611116E-3</c:v>
                </c:pt>
                <c:pt idx="73">
                  <c:v>2.2813337261524936E-3</c:v>
                </c:pt>
                <c:pt idx="74">
                  <c:v>2.3071401351289311E-3</c:v>
                </c:pt>
                <c:pt idx="75">
                  <c:v>2.3071401351289311E-3</c:v>
                </c:pt>
                <c:pt idx="76">
                  <c:v>2.9383972801739233E-3</c:v>
                </c:pt>
                <c:pt idx="77">
                  <c:v>3.0381441199734752E-3</c:v>
                </c:pt>
                <c:pt idx="78">
                  <c:v>3.0381441199734752E-3</c:v>
                </c:pt>
                <c:pt idx="79">
                  <c:v>3.0381441199734752E-3</c:v>
                </c:pt>
                <c:pt idx="80">
                  <c:v>3.0381441199734752E-3</c:v>
                </c:pt>
                <c:pt idx="81">
                  <c:v>3.0381441199734752E-3</c:v>
                </c:pt>
                <c:pt idx="82">
                  <c:v>3.2642268676136574E-3</c:v>
                </c:pt>
                <c:pt idx="83">
                  <c:v>3.2887934445574676E-3</c:v>
                </c:pt>
                <c:pt idx="84">
                  <c:v>3.3623024319992642E-3</c:v>
                </c:pt>
                <c:pt idx="85">
                  <c:v>3.3623024319992642E-3</c:v>
                </c:pt>
                <c:pt idx="86">
                  <c:v>3.4841815997701418E-3</c:v>
                </c:pt>
                <c:pt idx="87">
                  <c:v>3.701561296166553E-3</c:v>
                </c:pt>
                <c:pt idx="88">
                  <c:v>4.5420628595122976E-3</c:v>
                </c:pt>
                <c:pt idx="89">
                  <c:v>4.5877399248401033E-3</c:v>
                </c:pt>
                <c:pt idx="90">
                  <c:v>4.6787125687164435E-3</c:v>
                </c:pt>
                <c:pt idx="91">
                  <c:v>4.8815412693892684E-3</c:v>
                </c:pt>
                <c:pt idx="92">
                  <c:v>5.0849528027185438E-3</c:v>
                </c:pt>
                <c:pt idx="93">
                  <c:v>5.8330808873584706E-3</c:v>
                </c:pt>
                <c:pt idx="94">
                  <c:v>5.8330808873584706E-3</c:v>
                </c:pt>
                <c:pt idx="95">
                  <c:v>5.8540642134827089E-3</c:v>
                </c:pt>
                <c:pt idx="96">
                  <c:v>5.8540642134827089E-3</c:v>
                </c:pt>
                <c:pt idx="97">
                  <c:v>5.8540642134827089E-3</c:v>
                </c:pt>
                <c:pt idx="98">
                  <c:v>5.9822643421783422E-3</c:v>
                </c:pt>
                <c:pt idx="99">
                  <c:v>6.065098601430256E-3</c:v>
                </c:pt>
                <c:pt idx="100">
                  <c:v>6.1883962733599489E-3</c:v>
                </c:pt>
                <c:pt idx="101">
                  <c:v>6.2931690951532667E-3</c:v>
                </c:pt>
                <c:pt idx="102">
                  <c:v>6.330797086573193E-3</c:v>
                </c:pt>
                <c:pt idx="103">
                  <c:v>6.4516150944376313E-3</c:v>
                </c:pt>
                <c:pt idx="104">
                  <c:v>6.4716401621044174E-3</c:v>
                </c:pt>
                <c:pt idx="105">
                  <c:v>7.2063497245836048E-3</c:v>
                </c:pt>
                <c:pt idx="106">
                  <c:v>7.246574605525735E-3</c:v>
                </c:pt>
                <c:pt idx="107">
                  <c:v>7.246574605525735E-3</c:v>
                </c:pt>
                <c:pt idx="108">
                  <c:v>7.2999807046513886E-3</c:v>
                </c:pt>
                <c:pt idx="109">
                  <c:v>7.3026441973437573E-3</c:v>
                </c:pt>
                <c:pt idx="110">
                  <c:v>7.3026441973437573E-3</c:v>
                </c:pt>
                <c:pt idx="111">
                  <c:v>7.3372105627239293E-3</c:v>
                </c:pt>
                <c:pt idx="112">
                  <c:v>7.4691362822911084E-3</c:v>
                </c:pt>
                <c:pt idx="113">
                  <c:v>7.487476450016118E-3</c:v>
                </c:pt>
                <c:pt idx="114">
                  <c:v>7.5579193037042768E-3</c:v>
                </c:pt>
                <c:pt idx="115">
                  <c:v>7.5605192152667661E-3</c:v>
                </c:pt>
                <c:pt idx="116">
                  <c:v>7.5968498545024542E-3</c:v>
                </c:pt>
                <c:pt idx="117">
                  <c:v>7.6691296461945625E-3</c:v>
                </c:pt>
                <c:pt idx="118">
                  <c:v>8.2943493964944721E-3</c:v>
                </c:pt>
                <c:pt idx="119">
                  <c:v>8.4116356634057702E-3</c:v>
                </c:pt>
                <c:pt idx="120">
                  <c:v>8.4116356634057702E-3</c:v>
                </c:pt>
                <c:pt idx="121">
                  <c:v>8.4116356634057702E-3</c:v>
                </c:pt>
                <c:pt idx="122">
                  <c:v>8.4116356634057702E-3</c:v>
                </c:pt>
                <c:pt idx="123">
                  <c:v>8.4472282048853355E-3</c:v>
                </c:pt>
                <c:pt idx="124">
                  <c:v>8.543769677408046E-3</c:v>
                </c:pt>
                <c:pt idx="125">
                  <c:v>8.5951228093432714E-3</c:v>
                </c:pt>
                <c:pt idx="126">
                  <c:v>8.609073710850644E-3</c:v>
                </c:pt>
                <c:pt idx="127">
                  <c:v>8.6438487806603445E-3</c:v>
                </c:pt>
                <c:pt idx="128">
                  <c:v>8.673869095254215E-3</c:v>
                </c:pt>
                <c:pt idx="129">
                  <c:v>8.673869095254215E-3</c:v>
                </c:pt>
                <c:pt idx="130">
                  <c:v>8.6761738087136973E-3</c:v>
                </c:pt>
                <c:pt idx="131">
                  <c:v>9.3086949892344333E-3</c:v>
                </c:pt>
                <c:pt idx="132">
                  <c:v>1.0061390424347368E-2</c:v>
                </c:pt>
                <c:pt idx="133">
                  <c:v>1.0180013277048674E-2</c:v>
                </c:pt>
                <c:pt idx="134">
                  <c:v>1.0180013277048674E-2</c:v>
                </c:pt>
                <c:pt idx="135">
                  <c:v>1.0180013277048674E-2</c:v>
                </c:pt>
                <c:pt idx="136">
                  <c:v>1.0180013277048674E-2</c:v>
                </c:pt>
                <c:pt idx="137">
                  <c:v>1.0294187175124703E-2</c:v>
                </c:pt>
                <c:pt idx="138">
                  <c:v>1.0356504448727403E-2</c:v>
                </c:pt>
                <c:pt idx="139">
                  <c:v>1.0454558977114888E-2</c:v>
                </c:pt>
                <c:pt idx="140">
                  <c:v>1.0768861457161747E-2</c:v>
                </c:pt>
                <c:pt idx="141">
                  <c:v>1.0791349576121066E-2</c:v>
                </c:pt>
                <c:pt idx="142">
                  <c:v>1.103182769063411E-2</c:v>
                </c:pt>
                <c:pt idx="143">
                  <c:v>1.143463414162663E-2</c:v>
                </c:pt>
                <c:pt idx="144">
                  <c:v>1.2022219003965499E-2</c:v>
                </c:pt>
                <c:pt idx="145">
                  <c:v>1.2121973846654727E-2</c:v>
                </c:pt>
                <c:pt idx="146">
                  <c:v>1.2128369844981165E-2</c:v>
                </c:pt>
                <c:pt idx="147">
                  <c:v>1.23314489156339E-2</c:v>
                </c:pt>
                <c:pt idx="148">
                  <c:v>1.2352282490235875E-2</c:v>
                </c:pt>
                <c:pt idx="149">
                  <c:v>1.256927668794576E-2</c:v>
                </c:pt>
                <c:pt idx="150">
                  <c:v>1.2599559604761681E-2</c:v>
                </c:pt>
                <c:pt idx="151">
                  <c:v>1.2656870968298884E-2</c:v>
                </c:pt>
                <c:pt idx="152">
                  <c:v>1.2659520221471774E-2</c:v>
                </c:pt>
                <c:pt idx="153">
                  <c:v>1.2667277237600808E-2</c:v>
                </c:pt>
                <c:pt idx="154">
                  <c:v>1.2667277237600808E-2</c:v>
                </c:pt>
                <c:pt idx="155">
                  <c:v>1.2669799328513944E-2</c:v>
                </c:pt>
                <c:pt idx="156">
                  <c:v>1.2723974930862206E-2</c:v>
                </c:pt>
                <c:pt idx="157">
                  <c:v>1.2723974930862206E-2</c:v>
                </c:pt>
                <c:pt idx="158">
                  <c:v>1.273045733614878E-2</c:v>
                </c:pt>
                <c:pt idx="159">
                  <c:v>1.2731998461058078E-2</c:v>
                </c:pt>
                <c:pt idx="160">
                  <c:v>1.2739422085137253E-2</c:v>
                </c:pt>
                <c:pt idx="161">
                  <c:v>1.2742081974593084E-2</c:v>
                </c:pt>
                <c:pt idx="162">
                  <c:v>1.2744614701789152E-2</c:v>
                </c:pt>
                <c:pt idx="163">
                  <c:v>1.2762948049463256E-2</c:v>
                </c:pt>
                <c:pt idx="164">
                  <c:v>1.239638430899645E-2</c:v>
                </c:pt>
                <c:pt idx="165">
                  <c:v>1.1642500825150465E-2</c:v>
                </c:pt>
                <c:pt idx="166">
                  <c:v>1.1640081942069717E-2</c:v>
                </c:pt>
                <c:pt idx="167">
                  <c:v>1.163280972193852E-2</c:v>
                </c:pt>
                <c:pt idx="168">
                  <c:v>1.1604716507624548E-2</c:v>
                </c:pt>
                <c:pt idx="169">
                  <c:v>1.1589304506742542E-2</c:v>
                </c:pt>
                <c:pt idx="170">
                  <c:v>1.1478582057270408E-2</c:v>
                </c:pt>
                <c:pt idx="171">
                  <c:v>1.1143585703929433E-2</c:v>
                </c:pt>
                <c:pt idx="172">
                  <c:v>1.1143585703929433E-2</c:v>
                </c:pt>
                <c:pt idx="173">
                  <c:v>1.1101202340077179E-2</c:v>
                </c:pt>
                <c:pt idx="174">
                  <c:v>1.1090890125773439E-2</c:v>
                </c:pt>
                <c:pt idx="175">
                  <c:v>1.0930848152165395E-2</c:v>
                </c:pt>
                <c:pt idx="176">
                  <c:v>1.0536448635586025E-2</c:v>
                </c:pt>
                <c:pt idx="177">
                  <c:v>1.0536448635586025E-2</c:v>
                </c:pt>
                <c:pt idx="178">
                  <c:v>1.0502281460109859E-2</c:v>
                </c:pt>
                <c:pt idx="179">
                  <c:v>1.0391202559023736E-2</c:v>
                </c:pt>
                <c:pt idx="180">
                  <c:v>1.0382412604112053E-2</c:v>
                </c:pt>
                <c:pt idx="181">
                  <c:v>1.030436160846061E-2</c:v>
                </c:pt>
                <c:pt idx="182">
                  <c:v>1.030436160846061E-2</c:v>
                </c:pt>
                <c:pt idx="183">
                  <c:v>1.0281060711419977E-2</c:v>
                </c:pt>
                <c:pt idx="184">
                  <c:v>1.0172097266077301E-2</c:v>
                </c:pt>
                <c:pt idx="185">
                  <c:v>1.0151867283092187E-2</c:v>
                </c:pt>
                <c:pt idx="186">
                  <c:v>1.007764194582051E-2</c:v>
                </c:pt>
                <c:pt idx="187">
                  <c:v>9.6064407439624654E-3</c:v>
                </c:pt>
                <c:pt idx="188">
                  <c:v>9.5820866436616935E-3</c:v>
                </c:pt>
                <c:pt idx="189">
                  <c:v>9.537194813424129E-3</c:v>
                </c:pt>
                <c:pt idx="190">
                  <c:v>9.5074353309517537E-3</c:v>
                </c:pt>
                <c:pt idx="191">
                  <c:v>9.5002315708046098E-3</c:v>
                </c:pt>
                <c:pt idx="192">
                  <c:v>9.1904969245893975E-3</c:v>
                </c:pt>
                <c:pt idx="193">
                  <c:v>8.5594049716463255E-3</c:v>
                </c:pt>
                <c:pt idx="194">
                  <c:v>8.3320601531129343E-3</c:v>
                </c:pt>
                <c:pt idx="195">
                  <c:v>7.8997319525557705E-3</c:v>
                </c:pt>
                <c:pt idx="196">
                  <c:v>7.8997319525557705E-3</c:v>
                </c:pt>
                <c:pt idx="197">
                  <c:v>7.7630568325963434E-3</c:v>
                </c:pt>
                <c:pt idx="198">
                  <c:v>7.5180180720247486E-3</c:v>
                </c:pt>
                <c:pt idx="199">
                  <c:v>7.4656848594404773E-3</c:v>
                </c:pt>
                <c:pt idx="200">
                  <c:v>7.3151114404169659E-3</c:v>
                </c:pt>
                <c:pt idx="201">
                  <c:v>7.1543358620938385E-3</c:v>
                </c:pt>
                <c:pt idx="202">
                  <c:v>6.6199223899707435E-3</c:v>
                </c:pt>
                <c:pt idx="203">
                  <c:v>6.6199223899707435E-3</c:v>
                </c:pt>
                <c:pt idx="204">
                  <c:v>6.5135438287561437E-3</c:v>
                </c:pt>
                <c:pt idx="205">
                  <c:v>6.5135438287561437E-3</c:v>
                </c:pt>
                <c:pt idx="206">
                  <c:v>6.5007170910351617E-3</c:v>
                </c:pt>
                <c:pt idx="207">
                  <c:v>6.4878772153766154E-3</c:v>
                </c:pt>
                <c:pt idx="208">
                  <c:v>6.4335195653339589E-3</c:v>
                </c:pt>
                <c:pt idx="209">
                  <c:v>6.3501010700156291E-3</c:v>
                </c:pt>
                <c:pt idx="210">
                  <c:v>6.2588731121505578E-3</c:v>
                </c:pt>
                <c:pt idx="211">
                  <c:v>6.2486969341815982E-3</c:v>
                </c:pt>
                <c:pt idx="212">
                  <c:v>6.2457879949910505E-3</c:v>
                </c:pt>
                <c:pt idx="213">
                  <c:v>6.2457879949910505E-3</c:v>
                </c:pt>
                <c:pt idx="214">
                  <c:v>6.2079127458934055E-3</c:v>
                </c:pt>
                <c:pt idx="215">
                  <c:v>6.2049947236843123E-3</c:v>
                </c:pt>
                <c:pt idx="216">
                  <c:v>6.1435663874871496E-3</c:v>
                </c:pt>
                <c:pt idx="217">
                  <c:v>6.0257685126376206E-3</c:v>
                </c:pt>
                <c:pt idx="218">
                  <c:v>5.2347796315722339E-3</c:v>
                </c:pt>
                <c:pt idx="219">
                  <c:v>5.1312483280326476E-3</c:v>
                </c:pt>
                <c:pt idx="220">
                  <c:v>5.0871125058980157E-3</c:v>
                </c:pt>
                <c:pt idx="221">
                  <c:v>4.9427928696040152E-3</c:v>
                </c:pt>
                <c:pt idx="222">
                  <c:v>4.9061038380610045E-3</c:v>
                </c:pt>
                <c:pt idx="223">
                  <c:v>3.7518580809995164E-3</c:v>
                </c:pt>
                <c:pt idx="224">
                  <c:v>3.4344256992933433E-3</c:v>
                </c:pt>
                <c:pt idx="225">
                  <c:v>3.3646920183076703E-3</c:v>
                </c:pt>
                <c:pt idx="226">
                  <c:v>2.331752009334824E-3</c:v>
                </c:pt>
                <c:pt idx="227">
                  <c:v>2.328071662354228E-3</c:v>
                </c:pt>
                <c:pt idx="228">
                  <c:v>2.328071662354228E-3</c:v>
                </c:pt>
                <c:pt idx="229">
                  <c:v>2.3170267286902052E-3</c:v>
                </c:pt>
                <c:pt idx="230">
                  <c:v>2.272788603200529E-3</c:v>
                </c:pt>
                <c:pt idx="231">
                  <c:v>2.272788603200529E-3</c:v>
                </c:pt>
                <c:pt idx="232">
                  <c:v>1.8328041726252478E-3</c:v>
                </c:pt>
                <c:pt idx="233">
                  <c:v>8.511356711542184E-4</c:v>
                </c:pt>
                <c:pt idx="234">
                  <c:v>8.511356711542184E-4</c:v>
                </c:pt>
                <c:pt idx="235">
                  <c:v>7.1310426300098123E-4</c:v>
                </c:pt>
                <c:pt idx="236">
                  <c:v>5.1453786460868567E-4</c:v>
                </c:pt>
                <c:pt idx="237">
                  <c:v>4.0263220606178568E-4</c:v>
                </c:pt>
                <c:pt idx="238">
                  <c:v>-9.7568693981237714E-4</c:v>
                </c:pt>
                <c:pt idx="239">
                  <c:v>-1.5474014333066097E-3</c:v>
                </c:pt>
                <c:pt idx="240">
                  <c:v>-2.8155864325330113E-3</c:v>
                </c:pt>
                <c:pt idx="241">
                  <c:v>-2.9643355975828081E-3</c:v>
                </c:pt>
                <c:pt idx="242">
                  <c:v>-2.9643355975828081E-3</c:v>
                </c:pt>
                <c:pt idx="243">
                  <c:v>-2.9643355975828081E-3</c:v>
                </c:pt>
                <c:pt idx="244">
                  <c:v>-3.1865089830919943E-3</c:v>
                </c:pt>
                <c:pt idx="245">
                  <c:v>-3.1865089830919943E-3</c:v>
                </c:pt>
                <c:pt idx="246">
                  <c:v>-3.1865089830919943E-3</c:v>
                </c:pt>
                <c:pt idx="247">
                  <c:v>-4.5902088638289928E-3</c:v>
                </c:pt>
                <c:pt idx="248">
                  <c:v>-4.6139468721324781E-3</c:v>
                </c:pt>
                <c:pt idx="249">
                  <c:v>-4.6947774235407344E-3</c:v>
                </c:pt>
                <c:pt idx="250">
                  <c:v>-4.6947774235407344E-3</c:v>
                </c:pt>
                <c:pt idx="251">
                  <c:v>-4.7901122411080285E-3</c:v>
                </c:pt>
                <c:pt idx="252">
                  <c:v>-4.7948857942503031E-3</c:v>
                </c:pt>
                <c:pt idx="253">
                  <c:v>-5.5426303666122195E-3</c:v>
                </c:pt>
                <c:pt idx="254">
                  <c:v>-6.799147044156989E-3</c:v>
                </c:pt>
                <c:pt idx="255">
                  <c:v>-6.963254163659921E-3</c:v>
                </c:pt>
                <c:pt idx="256">
                  <c:v>-6.983499324437252E-3</c:v>
                </c:pt>
                <c:pt idx="257">
                  <c:v>-9.3005889081360163E-3</c:v>
                </c:pt>
                <c:pt idx="258">
                  <c:v>-9.3059405305305626E-3</c:v>
                </c:pt>
                <c:pt idx="259">
                  <c:v>-9.660582076714809E-3</c:v>
                </c:pt>
                <c:pt idx="260">
                  <c:v>-9.7686071687761861E-3</c:v>
                </c:pt>
                <c:pt idx="261">
                  <c:v>-1.1938289824199005E-2</c:v>
                </c:pt>
                <c:pt idx="262">
                  <c:v>-1.1943952215585502E-2</c:v>
                </c:pt>
                <c:pt idx="263">
                  <c:v>-1.3871487329604838E-2</c:v>
                </c:pt>
                <c:pt idx="264">
                  <c:v>-1.6700284848040384E-2</c:v>
                </c:pt>
                <c:pt idx="265">
                  <c:v>-1.8853049797985175E-2</c:v>
                </c:pt>
                <c:pt idx="266">
                  <c:v>-1.9912289304307676E-2</c:v>
                </c:pt>
                <c:pt idx="267">
                  <c:v>-2.21100219565534E-2</c:v>
                </c:pt>
                <c:pt idx="268">
                  <c:v>-2.5252181736333298E-2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061-4B90-B187-3A0B0C568CA7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Active!$U$21:$U$284</c:f>
              <c:numCache>
                <c:formatCode>General</c:formatCode>
                <c:ptCount val="264"/>
                <c:pt idx="169">
                  <c:v>3.5215299998526461E-2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061-4B90-B187-3A0B0C56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35688"/>
        <c:axId val="1"/>
      </c:scatterChart>
      <c:valAx>
        <c:axId val="8176356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77434312210202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7001545595054096E-2"/>
              <c:y val="0.394601515932003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356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1190108191653782E-2"/>
          <c:y val="0.91277520216514996"/>
          <c:w val="0.8578052550231839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IU Per - O-C Diagr.</a:t>
            </a:r>
          </a:p>
        </c:rich>
      </c:tx>
      <c:layout>
        <c:manualLayout>
          <c:xMode val="edge"/>
          <c:yMode val="edge"/>
          <c:x val="0.38567073170731708"/>
          <c:y val="3.10559006211180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72120834822441"/>
          <c:y val="0.1656317960254968"/>
          <c:w val="0.83244955288348843"/>
          <c:h val="0.6107670236872564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Active!$H$21:$H$284</c:f>
              <c:numCache>
                <c:formatCode>General</c:formatCode>
                <c:ptCount val="264"/>
                <c:pt idx="0">
                  <c:v>-4.8276500019710511E-3</c:v>
                </c:pt>
                <c:pt idx="1">
                  <c:v>-1.0551900002610637E-2</c:v>
                </c:pt>
                <c:pt idx="2">
                  <c:v>1.6495799998665461E-2</c:v>
                </c:pt>
                <c:pt idx="3">
                  <c:v>4.6052999969106168E-3</c:v>
                </c:pt>
                <c:pt idx="4">
                  <c:v>1.7719199997372925E-2</c:v>
                </c:pt>
                <c:pt idx="5">
                  <c:v>-4.2159299999184441E-2</c:v>
                </c:pt>
                <c:pt idx="6">
                  <c:v>1.9041699997615069E-2</c:v>
                </c:pt>
                <c:pt idx="7">
                  <c:v>-6.0661099996650591E-2</c:v>
                </c:pt>
                <c:pt idx="8">
                  <c:v>-7.3639000038383529E-3</c:v>
                </c:pt>
                <c:pt idx="9">
                  <c:v>-3.8949900001171045E-2</c:v>
                </c:pt>
                <c:pt idx="10">
                  <c:v>-1.1303000064799562E-3</c:v>
                </c:pt>
                <c:pt idx="11">
                  <c:v>4.2061999993165955E-3</c:v>
                </c:pt>
                <c:pt idx="12">
                  <c:v>-1.5818899999430869E-2</c:v>
                </c:pt>
                <c:pt idx="14">
                  <c:v>-6.2243200001830701E-2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9C-4115-8F5C-7ACF95C4BC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Active!$F$21:$F$2804</c:f>
              <c:numCache>
                <c:formatCode>General</c:formatCode>
                <c:ptCount val="278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Active!$I$21:$I$2084</c:f>
              <c:numCache>
                <c:formatCode>General</c:formatCode>
                <c:ptCount val="2064"/>
                <c:pt idx="13">
                  <c:v>-6.2243200001830701E-2</c:v>
                </c:pt>
                <c:pt idx="15">
                  <c:v>-1.2972899996384513E-2</c:v>
                </c:pt>
                <c:pt idx="16">
                  <c:v>-1.471240000682883E-2</c:v>
                </c:pt>
                <c:pt idx="17">
                  <c:v>-1.1100900002929848E-2</c:v>
                </c:pt>
                <c:pt idx="18">
                  <c:v>-2.6427200005855411E-2</c:v>
                </c:pt>
                <c:pt idx="19">
                  <c:v>-1.9427200000791345E-2</c:v>
                </c:pt>
                <c:pt idx="20">
                  <c:v>-2.9452300004777499E-2</c:v>
                </c:pt>
                <c:pt idx="21">
                  <c:v>-2.3452300003555138E-2</c:v>
                </c:pt>
                <c:pt idx="22">
                  <c:v>-3.0506500006595161E-2</c:v>
                </c:pt>
                <c:pt idx="23">
                  <c:v>-2.1832800004631281E-2</c:v>
                </c:pt>
                <c:pt idx="24">
                  <c:v>-0.12384439999732422</c:v>
                </c:pt>
                <c:pt idx="25">
                  <c:v>-0.14927510000416078</c:v>
                </c:pt>
                <c:pt idx="26">
                  <c:v>-0.13391350000165403</c:v>
                </c:pt>
                <c:pt idx="27">
                  <c:v>-0.15719759999774396</c:v>
                </c:pt>
                <c:pt idx="28">
                  <c:v>-0.14873960000113584</c:v>
                </c:pt>
                <c:pt idx="29">
                  <c:v>7.4896000005537644E-3</c:v>
                </c:pt>
                <c:pt idx="30">
                  <c:v>1.0585999996692408E-2</c:v>
                </c:pt>
                <c:pt idx="31">
                  <c:v>-7.7403000032063574E-3</c:v>
                </c:pt>
                <c:pt idx="32">
                  <c:v>2.7747999993152916E-3</c:v>
                </c:pt>
                <c:pt idx="33">
                  <c:v>-1.1576600001717452E-2</c:v>
                </c:pt>
                <c:pt idx="34">
                  <c:v>-7.4550999997882172E-3</c:v>
                </c:pt>
                <c:pt idx="35">
                  <c:v>-9.7010000026784837E-3</c:v>
                </c:pt>
                <c:pt idx="36">
                  <c:v>-5.131700003403239E-3</c:v>
                </c:pt>
                <c:pt idx="37">
                  <c:v>8.6829999781912193E-4</c:v>
                </c:pt>
                <c:pt idx="38">
                  <c:v>1.5868299997237045E-2</c:v>
                </c:pt>
                <c:pt idx="39">
                  <c:v>-1.8361599999479949E-2</c:v>
                </c:pt>
                <c:pt idx="40">
                  <c:v>1.8462699998053722E-2</c:v>
                </c:pt>
                <c:pt idx="41">
                  <c:v>-1.8713000004936475E-2</c:v>
                </c:pt>
                <c:pt idx="42">
                  <c:v>1.2286999997741077E-2</c:v>
                </c:pt>
                <c:pt idx="43">
                  <c:v>1.6881399998965207E-2</c:v>
                </c:pt>
                <c:pt idx="44">
                  <c:v>2.124400001775939E-3</c:v>
                </c:pt>
                <c:pt idx="45">
                  <c:v>1.0124400003405754E-2</c:v>
                </c:pt>
                <c:pt idx="46">
                  <c:v>0</c:v>
                </c:pt>
                <c:pt idx="47">
                  <c:v>0</c:v>
                </c:pt>
                <c:pt idx="48">
                  <c:v>2.9719999292865396E-4</c:v>
                </c:pt>
                <c:pt idx="49">
                  <c:v>2.9719999292865396E-4</c:v>
                </c:pt>
                <c:pt idx="50">
                  <c:v>-8.7850000272737816E-4</c:v>
                </c:pt>
                <c:pt idx="51">
                  <c:v>-8.7850000272737816E-4</c:v>
                </c:pt>
                <c:pt idx="52">
                  <c:v>-1.4903600007528439E-2</c:v>
                </c:pt>
                <c:pt idx="53">
                  <c:v>-1.0029100005340297E-2</c:v>
                </c:pt>
                <c:pt idx="54">
                  <c:v>-2.2757000006095041E-2</c:v>
                </c:pt>
                <c:pt idx="55">
                  <c:v>-8.7570000032428652E-3</c:v>
                </c:pt>
                <c:pt idx="56">
                  <c:v>-8.7570000032428652E-3</c:v>
                </c:pt>
                <c:pt idx="57">
                  <c:v>2.179000002797693E-4</c:v>
                </c:pt>
                <c:pt idx="58">
                  <c:v>1.9042200001422316E-2</c:v>
                </c:pt>
                <c:pt idx="59">
                  <c:v>7.4860000022454187E-3</c:v>
                </c:pt>
                <c:pt idx="60">
                  <c:v>-9.0662000002339482E-3</c:v>
                </c:pt>
                <c:pt idx="61">
                  <c:v>-5.638400005409494E-3</c:v>
                </c:pt>
                <c:pt idx="62">
                  <c:v>3.6159999581286684E-4</c:v>
                </c:pt>
                <c:pt idx="63">
                  <c:v>1.1361599994415883E-2</c:v>
                </c:pt>
                <c:pt idx="64">
                  <c:v>8.1858999983523972E-3</c:v>
                </c:pt>
                <c:pt idx="65">
                  <c:v>-3.2197000036831014E-3</c:v>
                </c:pt>
                <c:pt idx="66">
                  <c:v>-6.3223700002708938E-2</c:v>
                </c:pt>
                <c:pt idx="67">
                  <c:v>-3.4496000007493421E-3</c:v>
                </c:pt>
                <c:pt idx="68">
                  <c:v>5.5503999974462204E-3</c:v>
                </c:pt>
                <c:pt idx="69">
                  <c:v>4.8224999991361983E-3</c:v>
                </c:pt>
                <c:pt idx="70">
                  <c:v>5.2346500015119091E-3</c:v>
                </c:pt>
                <c:pt idx="71">
                  <c:v>9.943999997631181E-3</c:v>
                </c:pt>
                <c:pt idx="72">
                  <c:v>1.3416900001175236E-2</c:v>
                </c:pt>
                <c:pt idx="73">
                  <c:v>3.2412000000476837E-3</c:v>
                </c:pt>
                <c:pt idx="74">
                  <c:v>-6.9345000083558261E-3</c:v>
                </c:pt>
                <c:pt idx="75">
                  <c:v>1.4065499992284458E-2</c:v>
                </c:pt>
                <c:pt idx="76">
                  <c:v>1.1698099995555822E-2</c:v>
                </c:pt>
                <c:pt idx="77">
                  <c:v>-1.2004700001853053E-2</c:v>
                </c:pt>
                <c:pt idx="78">
                  <c:v>-1.1004699998011347E-2</c:v>
                </c:pt>
                <c:pt idx="79">
                  <c:v>-2.0046999998157844E-3</c:v>
                </c:pt>
                <c:pt idx="80">
                  <c:v>-2.0046999998157844E-3</c:v>
                </c:pt>
                <c:pt idx="81">
                  <c:v>-1.0047000032500364E-3</c:v>
                </c:pt>
                <c:pt idx="82">
                  <c:v>1.8388900003628805E-2</c:v>
                </c:pt>
                <c:pt idx="83">
                  <c:v>6.2131999948178418E-3</c:v>
                </c:pt>
                <c:pt idx="84">
                  <c:v>6.8610000016633421E-4</c:v>
                </c:pt>
                <c:pt idx="85">
                  <c:v>5.6860999975469895E-3</c:v>
                </c:pt>
                <c:pt idx="86">
                  <c:v>1.8075999978464097E-3</c:v>
                </c:pt>
                <c:pt idx="87">
                  <c:v>-9.773700003279373E-3</c:v>
                </c:pt>
                <c:pt idx="88">
                  <c:v>-3.0737999986740761E-3</c:v>
                </c:pt>
                <c:pt idx="89">
                  <c:v>6.5747999979066662E-3</c:v>
                </c:pt>
                <c:pt idx="90">
                  <c:v>1.2871999999333639E-2</c:v>
                </c:pt>
                <c:pt idx="91">
                  <c:v>8.2906999959959649E-3</c:v>
                </c:pt>
                <c:pt idx="92">
                  <c:v>1.6842999975779094E-3</c:v>
                </c:pt>
                <c:pt idx="93">
                  <c:v>-1.0415000004286412E-2</c:v>
                </c:pt>
                <c:pt idx="94">
                  <c:v>-5.4150000069057569E-3</c:v>
                </c:pt>
                <c:pt idx="95">
                  <c:v>-5.9070000133942813E-4</c:v>
                </c:pt>
                <c:pt idx="96">
                  <c:v>4.0930000250227749E-4</c:v>
                </c:pt>
                <c:pt idx="97">
                  <c:v>9.40930000069784E-3</c:v>
                </c:pt>
                <c:pt idx="98">
                  <c:v>6.3300000037997961E-3</c:v>
                </c:pt>
                <c:pt idx="99">
                  <c:v>-1.3372800000070129E-2</c:v>
                </c:pt>
                <c:pt idx="100">
                  <c:v>1.1572999996133149E-2</c:v>
                </c:pt>
                <c:pt idx="101">
                  <c:v>1.2669399999140296E-2</c:v>
                </c:pt>
                <c:pt idx="102">
                  <c:v>1.434309999604011E-2</c:v>
                </c:pt>
                <c:pt idx="103">
                  <c:v>1.2288900004932657E-2</c:v>
                </c:pt>
                <c:pt idx="104">
                  <c:v>1.1113200002000667E-2</c:v>
                </c:pt>
                <c:pt idx="105">
                  <c:v>1.5461699993466027E-2</c:v>
                </c:pt>
                <c:pt idx="106">
                  <c:v>4.0852000020095147E-3</c:v>
                </c:pt>
                <c:pt idx="107">
                  <c:v>1.6085199997178279E-2</c:v>
                </c:pt>
                <c:pt idx="108">
                  <c:v>-7.4167999991914257E-3</c:v>
                </c:pt>
                <c:pt idx="109">
                  <c:v>-4.4418999968911521E-3</c:v>
                </c:pt>
                <c:pt idx="110">
                  <c:v>-4.4190000335220248E-4</c:v>
                </c:pt>
                <c:pt idx="111">
                  <c:v>3.2318000012310222E-3</c:v>
                </c:pt>
                <c:pt idx="112">
                  <c:v>9.9768000000040047E-3</c:v>
                </c:pt>
                <c:pt idx="113">
                  <c:v>3.9801099999749567E-2</c:v>
                </c:pt>
                <c:pt idx="114">
                  <c:v>2.3123400002077688E-2</c:v>
                </c:pt>
                <c:pt idx="115">
                  <c:v>1.4098300001933239E-2</c:v>
                </c:pt>
                <c:pt idx="116">
                  <c:v>-5.2531000037561171E-3</c:v>
                </c:pt>
                <c:pt idx="117">
                  <c:v>4.0441000019200146E-3</c:v>
                </c:pt>
                <c:pt idx="118">
                  <c:v>1.174400000309106E-2</c:v>
                </c:pt>
                <c:pt idx="119">
                  <c:v>3.5140999971190467E-3</c:v>
                </c:pt>
                <c:pt idx="121">
                  <c:v>4.3140999987372197E-3</c:v>
                </c:pt>
                <c:pt idx="122">
                  <c:v>6.514100001368206E-3</c:v>
                </c:pt>
                <c:pt idx="123">
                  <c:v>1.3759999274043366E-4</c:v>
                </c:pt>
                <c:pt idx="124">
                  <c:v>2.1085000043967739E-3</c:v>
                </c:pt>
                <c:pt idx="125">
                  <c:v>2.7556299995922018E-2</c:v>
                </c:pt>
                <c:pt idx="126">
                  <c:v>-6.5943000008701347E-3</c:v>
                </c:pt>
                <c:pt idx="127">
                  <c:v>1.8029199993179645E-2</c:v>
                </c:pt>
                <c:pt idx="128">
                  <c:v>-1.4297100002295338E-2</c:v>
                </c:pt>
                <c:pt idx="129">
                  <c:v>-1.4297100002295338E-2</c:v>
                </c:pt>
                <c:pt idx="130">
                  <c:v>2.8677799993602093E-2</c:v>
                </c:pt>
                <c:pt idx="131">
                  <c:v>1.7499200002930593E-2</c:v>
                </c:pt>
                <c:pt idx="132">
                  <c:v>1.8036499997833744E-2</c:v>
                </c:pt>
                <c:pt idx="137">
                  <c:v>2.8848800000560004E-2</c:v>
                </c:pt>
                <c:pt idx="138">
                  <c:v>2.097029999276856E-2</c:v>
                </c:pt>
                <c:pt idx="139">
                  <c:v>1.9564700000046287E-2</c:v>
                </c:pt>
                <c:pt idx="140">
                  <c:v>1.4845899997453671E-2</c:v>
                </c:pt>
                <c:pt idx="141">
                  <c:v>1.5494499995838851E-2</c:v>
                </c:pt>
                <c:pt idx="142">
                  <c:v>1.1603999999351799E-2</c:v>
                </c:pt>
                <c:pt idx="143">
                  <c:v>4.4253999949432909E-3</c:v>
                </c:pt>
                <c:pt idx="144">
                  <c:v>1.759930000116583E-2</c:v>
                </c:pt>
                <c:pt idx="145">
                  <c:v>1.0963799999444745E-2</c:v>
                </c:pt>
                <c:pt idx="146">
                  <c:v>-1.2119000020902604E-3</c:v>
                </c:pt>
                <c:pt idx="147">
                  <c:v>1.0663699998985976E-2</c:v>
                </c:pt>
                <c:pt idx="148">
                  <c:v>3.9609000014024787E-3</c:v>
                </c:pt>
                <c:pt idx="150">
                  <c:v>9.644799996749498E-3</c:v>
                </c:pt>
                <c:pt idx="153">
                  <c:v>1.6553499997826293E-2</c:v>
                </c:pt>
                <c:pt idx="154">
                  <c:v>1.6553499997826293E-2</c:v>
                </c:pt>
                <c:pt idx="155">
                  <c:v>5.3778000001329929E-3</c:v>
                </c:pt>
                <c:pt idx="159">
                  <c:v>7.9562000028090551E-3</c:v>
                </c:pt>
                <c:pt idx="160">
                  <c:v>1.6052599996328354E-2</c:v>
                </c:pt>
                <c:pt idx="161">
                  <c:v>9.7011999969254248E-3</c:v>
                </c:pt>
                <c:pt idx="162">
                  <c:v>1.134979999915231E-2</c:v>
                </c:pt>
                <c:pt idx="163">
                  <c:v>2.8357999981380999E-3</c:v>
                </c:pt>
                <c:pt idx="168">
                  <c:v>5.9831999969901517E-3</c:v>
                </c:pt>
                <c:pt idx="171">
                  <c:v>-1.6512000001966953E-3</c:v>
                </c:pt>
                <c:pt idx="173">
                  <c:v>6.6208999996888451E-3</c:v>
                </c:pt>
                <c:pt idx="176">
                  <c:v>3.4685300001001451E-2</c:v>
                </c:pt>
                <c:pt idx="180">
                  <c:v>7.4514000007184222E-3</c:v>
                </c:pt>
                <c:pt idx="181">
                  <c:v>6.3470000022789463E-3</c:v>
                </c:pt>
                <c:pt idx="184">
                  <c:v>8.514699999068398E-3</c:v>
                </c:pt>
                <c:pt idx="197">
                  <c:v>1.2929800002893899E-2</c:v>
                </c:pt>
                <c:pt idx="202">
                  <c:v>9.7497500028111972E-3</c:v>
                </c:pt>
                <c:pt idx="214">
                  <c:v>1.064790000236826E-2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9C-4115-8F5C-7ACF95C4BC3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Active!$F$21:$F$2804</c:f>
              <c:numCache>
                <c:formatCode>General</c:formatCode>
                <c:ptCount val="278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Active!$J$21:$J$2804</c:f>
              <c:numCache>
                <c:formatCode>General</c:formatCode>
                <c:ptCount val="2784"/>
                <c:pt idx="120">
                  <c:v>3.914100001566112E-3</c:v>
                </c:pt>
                <c:pt idx="121">
                  <c:v>4.3140999987372197E-3</c:v>
                </c:pt>
                <c:pt idx="133">
                  <c:v>6.8300999992061406E-3</c:v>
                </c:pt>
                <c:pt idx="134">
                  <c:v>8.3301000049686991E-3</c:v>
                </c:pt>
                <c:pt idx="135">
                  <c:v>8.3301000049686991E-3</c:v>
                </c:pt>
                <c:pt idx="136">
                  <c:v>9.0301000018371269E-3</c:v>
                </c:pt>
                <c:pt idx="149">
                  <c:v>4.001000001153443E-3</c:v>
                </c:pt>
                <c:pt idx="151">
                  <c:v>1.0456299998622853E-2</c:v>
                </c:pt>
                <c:pt idx="152">
                  <c:v>9.2805999956908636E-3</c:v>
                </c:pt>
                <c:pt idx="156">
                  <c:v>5.7346999965375289E-3</c:v>
                </c:pt>
                <c:pt idx="157">
                  <c:v>1.7634700001508463E-2</c:v>
                </c:pt>
                <c:pt idx="158">
                  <c:v>1.5231899997161236E-2</c:v>
                </c:pt>
                <c:pt idx="164">
                  <c:v>1.2940499997057486E-2</c:v>
                </c:pt>
                <c:pt idx="174">
                  <c:v>1.5345199994044378E-2</c:v>
                </c:pt>
                <c:pt idx="178">
                  <c:v>1.0083299996040296E-2</c:v>
                </c:pt>
                <c:pt idx="185">
                  <c:v>1.033859999733977E-2</c:v>
                </c:pt>
                <c:pt idx="188">
                  <c:v>9.3591999975615181E-3</c:v>
                </c:pt>
                <c:pt idx="190">
                  <c:v>1.3043049999396317E-2</c:v>
                </c:pt>
                <c:pt idx="212">
                  <c:v>1.0774200003652368E-2</c:v>
                </c:pt>
                <c:pt idx="213">
                  <c:v>1.1574200005270541E-2</c:v>
                </c:pt>
                <c:pt idx="226">
                  <c:v>6.8553999954019673E-3</c:v>
                </c:pt>
                <c:pt idx="232">
                  <c:v>1.3991999992867932E-2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9C-4115-8F5C-7ACF95C4BC3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Active!$F$21:$F$2804</c:f>
              <c:numCache>
                <c:formatCode>General</c:formatCode>
                <c:ptCount val="278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Active!$K$21:$K$2804</c:f>
              <c:numCache>
                <c:formatCode>General</c:formatCode>
                <c:ptCount val="2784"/>
                <c:pt idx="165">
                  <c:v>9.361299999000039E-3</c:v>
                </c:pt>
                <c:pt idx="166">
                  <c:v>6.5111000003525987E-3</c:v>
                </c:pt>
                <c:pt idx="167">
                  <c:v>5.1605000044219196E-3</c:v>
                </c:pt>
                <c:pt idx="170">
                  <c:v>1.0753200003819074E-2</c:v>
                </c:pt>
                <c:pt idx="172">
                  <c:v>-1.6211999973165803E-3</c:v>
                </c:pt>
                <c:pt idx="175">
                  <c:v>1.068459999805782E-2</c:v>
                </c:pt>
                <c:pt idx="177">
                  <c:v>3.5215299998526461E-2</c:v>
                </c:pt>
                <c:pt idx="179">
                  <c:v>3.676899999845773E-3</c:v>
                </c:pt>
                <c:pt idx="182">
                  <c:v>6.4970000021276064E-3</c:v>
                </c:pt>
                <c:pt idx="183">
                  <c:v>8.3206999988760799E-3</c:v>
                </c:pt>
                <c:pt idx="186">
                  <c:v>1.1634599999524653E-2</c:v>
                </c:pt>
                <c:pt idx="187">
                  <c:v>8.6603999952785671E-3</c:v>
                </c:pt>
                <c:pt idx="189">
                  <c:v>9.1069999980391003E-3</c:v>
                </c:pt>
                <c:pt idx="191">
                  <c:v>7.6552000027731992E-3</c:v>
                </c:pt>
                <c:pt idx="192">
                  <c:v>9.0654999949038029E-3</c:v>
                </c:pt>
                <c:pt idx="193">
                  <c:v>8.5423999989870936E-3</c:v>
                </c:pt>
                <c:pt idx="194">
                  <c:v>7.5027999992016703E-3</c:v>
                </c:pt>
                <c:pt idx="195">
                  <c:v>1.3385199999902397E-2</c:v>
                </c:pt>
                <c:pt idx="196">
                  <c:v>1.3415200002782512E-2</c:v>
                </c:pt>
                <c:pt idx="198">
                  <c:v>9.7453000053064898E-3</c:v>
                </c:pt>
                <c:pt idx="199">
                  <c:v>9.9432999995769933E-3</c:v>
                </c:pt>
                <c:pt idx="200">
                  <c:v>8.3225999987917021E-3</c:v>
                </c:pt>
                <c:pt idx="201">
                  <c:v>8.2065999959013425E-3</c:v>
                </c:pt>
                <c:pt idx="203">
                  <c:v>9.7997499979101121E-3</c:v>
                </c:pt>
                <c:pt idx="204">
                  <c:v>1.3708499995118473E-2</c:v>
                </c:pt>
                <c:pt idx="205">
                  <c:v>1.3908499997342005E-2</c:v>
                </c:pt>
                <c:pt idx="206">
                  <c:v>1.9595550002122764E-2</c:v>
                </c:pt>
                <c:pt idx="207">
                  <c:v>1.3982600001327228E-2</c:v>
                </c:pt>
                <c:pt idx="208">
                  <c:v>1.3455699998303317E-2</c:v>
                </c:pt>
                <c:pt idx="209">
                  <c:v>1.2177799995697569E-2</c:v>
                </c:pt>
                <c:pt idx="210">
                  <c:v>9.2871499946340919E-3</c:v>
                </c:pt>
                <c:pt idx="211">
                  <c:v>1.1499300002469681E-2</c:v>
                </c:pt>
                <c:pt idx="215">
                  <c:v>1.1222799999814015E-2</c:v>
                </c:pt>
                <c:pt idx="216">
                  <c:v>9.7956999961752445E-3</c:v>
                </c:pt>
                <c:pt idx="217">
                  <c:v>9.5916999998735264E-3</c:v>
                </c:pt>
                <c:pt idx="218">
                  <c:v>1.1865700005728286E-2</c:v>
                </c:pt>
                <c:pt idx="219">
                  <c:v>1.4537399998516776E-2</c:v>
                </c:pt>
                <c:pt idx="220">
                  <c:v>1.448599999275757E-2</c:v>
                </c:pt>
                <c:pt idx="221">
                  <c:v>1.1243950000789482E-2</c:v>
                </c:pt>
                <c:pt idx="222">
                  <c:v>1.2055300001520663E-2</c:v>
                </c:pt>
                <c:pt idx="223">
                  <c:v>1.0295400003087707E-2</c:v>
                </c:pt>
                <c:pt idx="224">
                  <c:v>1.198619999922812E-2</c:v>
                </c:pt>
                <c:pt idx="225">
                  <c:v>1.1984199998551048E-2</c:v>
                </c:pt>
                <c:pt idx="227">
                  <c:v>6.3302999988081865E-3</c:v>
                </c:pt>
                <c:pt idx="228">
                  <c:v>7.4303000001236796E-3</c:v>
                </c:pt>
                <c:pt idx="229">
                  <c:v>6.4549999951850623E-3</c:v>
                </c:pt>
                <c:pt idx="230">
                  <c:v>4.6537999951397069E-3</c:v>
                </c:pt>
                <c:pt idx="231">
                  <c:v>8.2537999987835065E-3</c:v>
                </c:pt>
                <c:pt idx="233">
                  <c:v>7.5914999979431741E-3</c:v>
                </c:pt>
                <c:pt idx="234">
                  <c:v>7.6914999954169616E-3</c:v>
                </c:pt>
                <c:pt idx="235">
                  <c:v>6.6129999977420084E-3</c:v>
                </c:pt>
                <c:pt idx="236">
                  <c:v>6.7579999958979897E-3</c:v>
                </c:pt>
                <c:pt idx="237">
                  <c:v>8.7551999968127348E-3</c:v>
                </c:pt>
                <c:pt idx="238">
                  <c:v>5.2466999986791052E-3</c:v>
                </c:pt>
                <c:pt idx="239">
                  <c:v>5.6832999980542809E-3</c:v>
                </c:pt>
                <c:pt idx="240">
                  <c:v>6.5545000034035183E-3</c:v>
                </c:pt>
                <c:pt idx="241">
                  <c:v>5.9261999995214865E-3</c:v>
                </c:pt>
                <c:pt idx="242">
                  <c:v>5.9261999995214865E-3</c:v>
                </c:pt>
                <c:pt idx="243">
                  <c:v>5.9261999995214865E-3</c:v>
                </c:pt>
                <c:pt idx="244">
                  <c:v>5.3962999954819679E-3</c:v>
                </c:pt>
                <c:pt idx="245">
                  <c:v>5.3962999954819679E-3</c:v>
                </c:pt>
                <c:pt idx="246">
                  <c:v>5.3962999954819679E-3</c:v>
                </c:pt>
                <c:pt idx="247">
                  <c:v>9.0160999970976263E-3</c:v>
                </c:pt>
                <c:pt idx="248">
                  <c:v>8.990599999378901E-3</c:v>
                </c:pt>
                <c:pt idx="249">
                  <c:v>7.2638999990886077E-3</c:v>
                </c:pt>
                <c:pt idx="250">
                  <c:v>8.8639000023249537E-3</c:v>
                </c:pt>
                <c:pt idx="251">
                  <c:v>8.761899996898137E-3</c:v>
                </c:pt>
                <c:pt idx="252">
                  <c:v>6.9367999967653304E-3</c:v>
                </c:pt>
                <c:pt idx="253">
                  <c:v>5.2762999985134229E-3</c:v>
                </c:pt>
                <c:pt idx="254">
                  <c:v>1.1513449928315822E-2</c:v>
                </c:pt>
                <c:pt idx="255">
                  <c:v>8.4276999987196177E-3</c:v>
                </c:pt>
                <c:pt idx="256">
                  <c:v>9.467299998505041E-3</c:v>
                </c:pt>
                <c:pt idx="257">
                  <c:v>8.9978000032715499E-3</c:v>
                </c:pt>
                <c:pt idx="258">
                  <c:v>9.0727000060724095E-3</c:v>
                </c:pt>
                <c:pt idx="259">
                  <c:v>7.1161000014399178E-3</c:v>
                </c:pt>
                <c:pt idx="260">
                  <c:v>8.6140999992494471E-3</c:v>
                </c:pt>
                <c:pt idx="261">
                  <c:v>8.7748999940231442E-3</c:v>
                </c:pt>
                <c:pt idx="262">
                  <c:v>8.1497999926796183E-3</c:v>
                </c:pt>
                <c:pt idx="263">
                  <c:v>2.8663999983109534E-3</c:v>
                </c:pt>
                <c:pt idx="264">
                  <c:v>4.2945000022882596E-3</c:v>
                </c:pt>
                <c:pt idx="265">
                  <c:v>3.4102999998140149E-3</c:v>
                </c:pt>
                <c:pt idx="266">
                  <c:v>3.2938999938778579E-3</c:v>
                </c:pt>
                <c:pt idx="267">
                  <c:v>1.9606999994721264E-3</c:v>
                </c:pt>
                <c:pt idx="268">
                  <c:v>1.2900000001536682E-3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9C-4115-8F5C-7ACF95C4BC3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Active!$L$21:$L$284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9C-4115-8F5C-7ACF95C4BC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Active!$M$21:$M$284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9C-4115-8F5C-7ACF95C4BC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Active!$N$21:$N$284</c:f>
              <c:numCache>
                <c:formatCode>General</c:formatCode>
                <c:ptCount val="2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9C-4115-8F5C-7ACF95C4BC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Active!$F$21:$F$284</c:f>
              <c:numCache>
                <c:formatCode>General</c:formatCode>
                <c:ptCount val="26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</c:numCache>
            </c:numRef>
          </c:xVal>
          <c:yVal>
            <c:numRef>
              <c:f>Active!$O$21:$O$284</c:f>
              <c:numCache>
                <c:formatCode>General</c:formatCode>
                <c:ptCount val="264"/>
                <c:pt idx="24">
                  <c:v>3.0114486008633205E-2</c:v>
                </c:pt>
                <c:pt idx="25">
                  <c:v>3.0034403975653882E-2</c:v>
                </c:pt>
                <c:pt idx="26">
                  <c:v>2.9494903964003713E-2</c:v>
                </c:pt>
                <c:pt idx="27">
                  <c:v>2.93670537008262E-2</c:v>
                </c:pt>
                <c:pt idx="28">
                  <c:v>2.8776975563083826E-2</c:v>
                </c:pt>
                <c:pt idx="66">
                  <c:v>2.5839229405895021E-2</c:v>
                </c:pt>
                <c:pt idx="78">
                  <c:v>2.540369554232327E-2</c:v>
                </c:pt>
                <c:pt idx="79">
                  <c:v>2.540369554232327E-2</c:v>
                </c:pt>
                <c:pt idx="80">
                  <c:v>2.540369554232327E-2</c:v>
                </c:pt>
                <c:pt idx="120">
                  <c:v>2.2857929862349038E-2</c:v>
                </c:pt>
                <c:pt idx="143">
                  <c:v>2.0558030073100794E-2</c:v>
                </c:pt>
                <c:pt idx="144">
                  <c:v>1.9840101672180907E-2</c:v>
                </c:pt>
                <c:pt idx="145">
                  <c:v>1.9692582137745315E-2</c:v>
                </c:pt>
                <c:pt idx="146">
                  <c:v>1.9682747502116273E-2</c:v>
                </c:pt>
                <c:pt idx="147">
                  <c:v>1.9339940203046899E-2</c:v>
                </c:pt>
                <c:pt idx="148">
                  <c:v>1.9300601660530738E-2</c:v>
                </c:pt>
                <c:pt idx="149">
                  <c:v>1.8810274827025769E-2</c:v>
                </c:pt>
                <c:pt idx="150">
                  <c:v>1.8723168054311418E-2</c:v>
                </c:pt>
                <c:pt idx="151">
                  <c:v>1.8533500081465655E-2</c:v>
                </c:pt>
                <c:pt idx="152">
                  <c:v>1.8523665445836616E-2</c:v>
                </c:pt>
                <c:pt idx="153">
                  <c:v>1.8494161538949498E-2</c:v>
                </c:pt>
                <c:pt idx="154">
                  <c:v>1.8494161538949498E-2</c:v>
                </c:pt>
                <c:pt idx="155">
                  <c:v>1.8484326903320455E-2</c:v>
                </c:pt>
                <c:pt idx="156">
                  <c:v>1.8230031324912438E-2</c:v>
                </c:pt>
                <c:pt idx="157">
                  <c:v>1.8230031324912438E-2</c:v>
                </c:pt>
                <c:pt idx="158">
                  <c:v>1.8190692782396278E-2</c:v>
                </c:pt>
                <c:pt idx="159">
                  <c:v>1.8180858146767238E-2</c:v>
                </c:pt>
                <c:pt idx="160">
                  <c:v>1.8130280020675037E-2</c:v>
                </c:pt>
                <c:pt idx="161">
                  <c:v>1.8110610749416955E-2</c:v>
                </c:pt>
                <c:pt idx="162">
                  <c:v>1.8090941478158876E-2</c:v>
                </c:pt>
                <c:pt idx="163">
                  <c:v>1.7894248765578089E-2</c:v>
                </c:pt>
                <c:pt idx="164">
                  <c:v>1.6204096385330293E-2</c:v>
                </c:pt>
                <c:pt idx="165">
                  <c:v>1.5091377611301819E-2</c:v>
                </c:pt>
                <c:pt idx="166">
                  <c:v>1.5088567715407808E-2</c:v>
                </c:pt>
                <c:pt idx="167">
                  <c:v>1.5080138027725775E-2</c:v>
                </c:pt>
                <c:pt idx="168">
                  <c:v>1.5047824224944646E-2</c:v>
                </c:pt>
                <c:pt idx="169">
                  <c:v>1.5030262375607074E-2</c:v>
                </c:pt>
                <c:pt idx="170">
                  <c:v>1.490732943024408E-2</c:v>
                </c:pt>
                <c:pt idx="171">
                  <c:v>1.4564522131174703E-2</c:v>
                </c:pt>
                <c:pt idx="172">
                  <c:v>1.4564522131174703E-2</c:v>
                </c:pt>
                <c:pt idx="173">
                  <c:v>1.4523778640711539E-2</c:v>
                </c:pt>
                <c:pt idx="174">
                  <c:v>1.45139440050825E-2</c:v>
                </c:pt>
                <c:pt idx="175">
                  <c:v>1.43650195226999E-2</c:v>
                </c:pt>
                <c:pt idx="176">
                  <c:v>1.4023617171577529E-2</c:v>
                </c:pt>
                <c:pt idx="177">
                  <c:v>1.4023617171577529E-2</c:v>
                </c:pt>
                <c:pt idx="178">
                  <c:v>1.3995518212637415E-2</c:v>
                </c:pt>
                <c:pt idx="179">
                  <c:v>1.3905601544029055E-2</c:v>
                </c:pt>
                <c:pt idx="180">
                  <c:v>1.3898576804294027E-2</c:v>
                </c:pt>
                <c:pt idx="181">
                  <c:v>1.3836759094625778E-2</c:v>
                </c:pt>
                <c:pt idx="182">
                  <c:v>1.3836759094625778E-2</c:v>
                </c:pt>
                <c:pt idx="183">
                  <c:v>1.3818494771314704E-2</c:v>
                </c:pt>
                <c:pt idx="184">
                  <c:v>1.3734197894494366E-2</c:v>
                </c:pt>
                <c:pt idx="185">
                  <c:v>1.3718743467077302E-2</c:v>
                </c:pt>
                <c:pt idx="186">
                  <c:v>1.3662545549197077E-2</c:v>
                </c:pt>
                <c:pt idx="187">
                  <c:v>1.332254814602171E-2</c:v>
                </c:pt>
                <c:pt idx="188">
                  <c:v>1.3305688770657643E-2</c:v>
                </c:pt>
                <c:pt idx="189">
                  <c:v>1.3274779915823518E-2</c:v>
                </c:pt>
                <c:pt idx="190">
                  <c:v>1.3254408170591937E-2</c:v>
                </c:pt>
                <c:pt idx="191">
                  <c:v>1.3249490852777417E-2</c:v>
                </c:pt>
                <c:pt idx="192">
                  <c:v>1.3042963504567587E-2</c:v>
                </c:pt>
                <c:pt idx="193">
                  <c:v>1.2648173131459E-2</c:v>
                </c:pt>
                <c:pt idx="194">
                  <c:v>1.2513298128546457E-2</c:v>
                </c:pt>
                <c:pt idx="195">
                  <c:v>1.2266027289873464E-2</c:v>
                </c:pt>
                <c:pt idx="196">
                  <c:v>1.2266027289873464E-2</c:v>
                </c:pt>
                <c:pt idx="197">
                  <c:v>1.2190160100735158E-2</c:v>
                </c:pt>
                <c:pt idx="198">
                  <c:v>1.2056690045769623E-2</c:v>
                </c:pt>
                <c:pt idx="199">
                  <c:v>1.2028591086829511E-2</c:v>
                </c:pt>
                <c:pt idx="200">
                  <c:v>1.1948509053850188E-2</c:v>
                </c:pt>
                <c:pt idx="201">
                  <c:v>1.186421217702985E-2</c:v>
                </c:pt>
                <c:pt idx="202">
                  <c:v>1.1592354749284257E-2</c:v>
                </c:pt>
                <c:pt idx="203">
                  <c:v>1.1592354749284257E-2</c:v>
                </c:pt>
                <c:pt idx="204">
                  <c:v>1.1539669201271545E-2</c:v>
                </c:pt>
                <c:pt idx="205">
                  <c:v>1.1539669201271545E-2</c:v>
                </c:pt>
                <c:pt idx="206">
                  <c:v>1.1533346935510018E-2</c:v>
                </c:pt>
                <c:pt idx="207">
                  <c:v>1.1527024669748493E-2</c:v>
                </c:pt>
                <c:pt idx="208">
                  <c:v>1.1500330658755387E-2</c:v>
                </c:pt>
                <c:pt idx="209">
                  <c:v>1.1459587168292222E-2</c:v>
                </c:pt>
                <c:pt idx="210">
                  <c:v>1.1415331307961544E-2</c:v>
                </c:pt>
                <c:pt idx="211">
                  <c:v>1.1410413990147025E-2</c:v>
                </c:pt>
                <c:pt idx="212">
                  <c:v>1.1409009042200019E-2</c:v>
                </c:pt>
                <c:pt idx="213">
                  <c:v>1.1409009042200019E-2</c:v>
                </c:pt>
                <c:pt idx="214">
                  <c:v>1.1390744718888946E-2</c:v>
                </c:pt>
                <c:pt idx="215">
                  <c:v>1.1389339770941941E-2</c:v>
                </c:pt>
                <c:pt idx="216">
                  <c:v>1.1359835864054821E-2</c:v>
                </c:pt>
                <c:pt idx="217">
                  <c:v>1.1303637946174595E-2</c:v>
                </c:pt>
                <c:pt idx="218">
                  <c:v>1.0938351479953128E-2</c:v>
                </c:pt>
                <c:pt idx="219">
                  <c:v>1.089198819770194E-2</c:v>
                </c:pt>
                <c:pt idx="220">
                  <c:v>1.0872318926443861E-2</c:v>
                </c:pt>
                <c:pt idx="221">
                  <c:v>1.0808393794855105E-2</c:v>
                </c:pt>
                <c:pt idx="222">
                  <c:v>1.0792236893464539E-2</c:v>
                </c:pt>
                <c:pt idx="223">
                  <c:v>1.0301910059959569E-2</c:v>
                </c:pt>
                <c:pt idx="224">
                  <c:v>1.0172654848835051E-2</c:v>
                </c:pt>
                <c:pt idx="225">
                  <c:v>1.0144555889894939E-2</c:v>
                </c:pt>
                <c:pt idx="226">
                  <c:v>9.7399308811573111E-3</c:v>
                </c:pt>
                <c:pt idx="227">
                  <c:v>9.7385259332103055E-3</c:v>
                </c:pt>
                <c:pt idx="228">
                  <c:v>9.7385259332103055E-3</c:v>
                </c:pt>
                <c:pt idx="229">
                  <c:v>9.7343110893692887E-3</c:v>
                </c:pt>
                <c:pt idx="230">
                  <c:v>9.7174517140052215E-3</c:v>
                </c:pt>
                <c:pt idx="231">
                  <c:v>9.7174517140052215E-3</c:v>
                </c:pt>
                <c:pt idx="232">
                  <c:v>9.5516678562585534E-3</c:v>
                </c:pt>
                <c:pt idx="233">
                  <c:v>9.1934061297721144E-3</c:v>
                </c:pt>
                <c:pt idx="234">
                  <c:v>9.1934061297721144E-3</c:v>
                </c:pt>
                <c:pt idx="235">
                  <c:v>9.1442329516269148E-3</c:v>
                </c:pt>
                <c:pt idx="236">
                  <c:v>9.0739855542766347E-3</c:v>
                </c:pt>
                <c:pt idx="237">
                  <c:v>9.0346470117604744E-3</c:v>
                </c:pt>
                <c:pt idx="238">
                  <c:v>8.5639894495135836E-3</c:v>
                </c:pt>
                <c:pt idx="239">
                  <c:v>8.3757264246148259E-3</c:v>
                </c:pt>
                <c:pt idx="240">
                  <c:v>7.971101415877202E-3</c:v>
                </c:pt>
                <c:pt idx="241">
                  <c:v>7.9247381336260136E-3</c:v>
                </c:pt>
                <c:pt idx="242">
                  <c:v>7.9247381336260136E-3</c:v>
                </c:pt>
                <c:pt idx="243">
                  <c:v>7.9247381336260136E-3</c:v>
                </c:pt>
                <c:pt idx="244">
                  <c:v>7.8558956842227391E-3</c:v>
                </c:pt>
                <c:pt idx="245">
                  <c:v>7.8558956842227391E-3</c:v>
                </c:pt>
                <c:pt idx="246">
                  <c:v>7.8558956842227391E-3</c:v>
                </c:pt>
                <c:pt idx="247">
                  <c:v>7.4316014042270333E-3</c:v>
                </c:pt>
                <c:pt idx="248">
                  <c:v>7.4245766644920053E-3</c:v>
                </c:pt>
                <c:pt idx="249">
                  <c:v>7.40069254939291E-3</c:v>
                </c:pt>
                <c:pt idx="250">
                  <c:v>7.40069254939291E-3</c:v>
                </c:pt>
                <c:pt idx="251">
                  <c:v>7.3725935904527945E-3</c:v>
                </c:pt>
                <c:pt idx="252">
                  <c:v>7.3711886425057889E-3</c:v>
                </c:pt>
                <c:pt idx="253">
                  <c:v>7.1534217107199136E-3</c:v>
                </c:pt>
                <c:pt idx="254">
                  <c:v>6.7972674061539846E-3</c:v>
                </c:pt>
                <c:pt idx="255">
                  <c:v>6.7516065978763008E-3</c:v>
                </c:pt>
                <c:pt idx="256">
                  <c:v>6.7459868060882784E-3</c:v>
                </c:pt>
                <c:pt idx="257">
                  <c:v>6.1207849696707645E-3</c:v>
                </c:pt>
                <c:pt idx="258">
                  <c:v>6.1193800217237589E-3</c:v>
                </c:pt>
                <c:pt idx="259">
                  <c:v>6.0266534572213856E-3</c:v>
                </c:pt>
                <c:pt idx="260">
                  <c:v>5.9985544982812736E-3</c:v>
                </c:pt>
                <c:pt idx="261">
                  <c:v>5.44781490305506E-3</c:v>
                </c:pt>
                <c:pt idx="262">
                  <c:v>5.4464099551080544E-3</c:v>
                </c:pt>
                <c:pt idx="263">
                  <c:v>4.9771573408081658E-3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9C-4115-8F5C-7ACF95C4BC3C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Active!$F$21:$F$2804</c:f>
              <c:numCache>
                <c:formatCode>General</c:formatCode>
                <c:ptCount val="2784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Active!$P$21:$P$2804</c:f>
              <c:numCache>
                <c:formatCode>0.00E+00</c:formatCode>
                <c:ptCount val="2784"/>
                <c:pt idx="0">
                  <c:v>-0.24836488507038917</c:v>
                </c:pt>
                <c:pt idx="1">
                  <c:v>-0.24164390058290941</c:v>
                </c:pt>
                <c:pt idx="2">
                  <c:v>-0.21904022540174872</c:v>
                </c:pt>
                <c:pt idx="3">
                  <c:v>-0.21635981169634866</c:v>
                </c:pt>
                <c:pt idx="4">
                  <c:v>-0.19760356589551936</c:v>
                </c:pt>
                <c:pt idx="5">
                  <c:v>-0.19702569648878884</c:v>
                </c:pt>
                <c:pt idx="6">
                  <c:v>-0.11622233774505948</c:v>
                </c:pt>
                <c:pt idx="7">
                  <c:v>-0.11586034599356743</c:v>
                </c:pt>
                <c:pt idx="8">
                  <c:v>-0.11549886289111438</c:v>
                </c:pt>
                <c:pt idx="9">
                  <c:v>-0.10464390044467686</c:v>
                </c:pt>
                <c:pt idx="10">
                  <c:v>-9.4929764579002207E-2</c:v>
                </c:pt>
                <c:pt idx="11">
                  <c:v>-9.0426591040920129E-2</c:v>
                </c:pt>
                <c:pt idx="12">
                  <c:v>-9.0415019702174387E-2</c:v>
                </c:pt>
                <c:pt idx="13">
                  <c:v>-3.2720864241341248E-2</c:v>
                </c:pt>
                <c:pt idx="14">
                  <c:v>-3.2720864241341248E-2</c:v>
                </c:pt>
                <c:pt idx="15">
                  <c:v>-2.8615415709654167E-2</c:v>
                </c:pt>
                <c:pt idx="16">
                  <c:v>-2.0650204279100588E-2</c:v>
                </c:pt>
                <c:pt idx="17">
                  <c:v>-1.9767129747333193E-2</c:v>
                </c:pt>
                <c:pt idx="18">
                  <c:v>-1.968271707370248E-2</c:v>
                </c:pt>
                <c:pt idx="19">
                  <c:v>-1.968271707370248E-2</c:v>
                </c:pt>
                <c:pt idx="20">
                  <c:v>-1.9676228332624779E-2</c:v>
                </c:pt>
                <c:pt idx="21">
                  <c:v>-1.9676228332624779E-2</c:v>
                </c:pt>
                <c:pt idx="22">
                  <c:v>-1.9404287062058073E-2</c:v>
                </c:pt>
                <c:pt idx="23">
                  <c:v>-1.9320346705392167E-2</c:v>
                </c:pt>
                <c:pt idx="24">
                  <c:v>-1.2523114089915421E-2</c:v>
                </c:pt>
                <c:pt idx="25">
                  <c:v>-1.2197632881993388E-2</c:v>
                </c:pt>
                <c:pt idx="26">
                  <c:v>-1.0059851472207209E-2</c:v>
                </c:pt>
                <c:pt idx="27">
                  <c:v>-9.5672637250934032E-3</c:v>
                </c:pt>
                <c:pt idx="28">
                  <c:v>-7.3634031525541569E-3</c:v>
                </c:pt>
                <c:pt idx="29">
                  <c:v>-3.9073923520490305E-3</c:v>
                </c:pt>
                <c:pt idx="30">
                  <c:v>-3.7403515453454691E-3</c:v>
                </c:pt>
                <c:pt idx="31">
                  <c:v>-3.6802378927079547E-3</c:v>
                </c:pt>
                <c:pt idx="32">
                  <c:v>-3.2260461825850536E-3</c:v>
                </c:pt>
                <c:pt idx="33">
                  <c:v>-3.1623302424089068E-3</c:v>
                </c:pt>
                <c:pt idx="34">
                  <c:v>-3.0035967268549749E-3</c:v>
                </c:pt>
                <c:pt idx="35">
                  <c:v>-2.072273648768008E-3</c:v>
                </c:pt>
                <c:pt idx="36">
                  <c:v>-1.8231949002003982E-3</c:v>
                </c:pt>
                <c:pt idx="37">
                  <c:v>-1.8231949002003982E-3</c:v>
                </c:pt>
                <c:pt idx="38">
                  <c:v>-1.8231949002003982E-3</c:v>
                </c:pt>
                <c:pt idx="39">
                  <c:v>-1.6107594724261588E-3</c:v>
                </c:pt>
                <c:pt idx="40">
                  <c:v>-1.5805387164324525E-3</c:v>
                </c:pt>
                <c:pt idx="41">
                  <c:v>-1.5503497510036858E-3</c:v>
                </c:pt>
                <c:pt idx="42">
                  <c:v>-1.5503497510036858E-3</c:v>
                </c:pt>
                <c:pt idx="43">
                  <c:v>-1.3099824879113607E-3</c:v>
                </c:pt>
                <c:pt idx="44">
                  <c:v>-1.0123845598904798E-3</c:v>
                </c:pt>
                <c:pt idx="45">
                  <c:v>-1.0123845598904798E-3</c:v>
                </c:pt>
                <c:pt idx="46">
                  <c:v>1.030552988397575E-7</c:v>
                </c:pt>
                <c:pt idx="47">
                  <c:v>1.030552988397575E-7</c:v>
                </c:pt>
                <c:pt idx="48">
                  <c:v>1.1381957763451933E-4</c:v>
                </c:pt>
                <c:pt idx="49">
                  <c:v>1.1381957763451933E-4</c:v>
                </c:pt>
                <c:pt idx="50">
                  <c:v>1.4216923180609126E-4</c:v>
                </c:pt>
                <c:pt idx="51">
                  <c:v>1.4216923180609126E-4</c:v>
                </c:pt>
                <c:pt idx="52">
                  <c:v>1.4621658725387182E-4</c:v>
                </c:pt>
                <c:pt idx="53">
                  <c:v>1.6644363268718097E-4</c:v>
                </c:pt>
                <c:pt idx="54">
                  <c:v>2.8344064418986354E-4</c:v>
                </c:pt>
                <c:pt idx="55">
                  <c:v>2.8344064418986354E-4</c:v>
                </c:pt>
                <c:pt idx="56">
                  <c:v>2.8344064418986354E-4</c:v>
                </c:pt>
                <c:pt idx="57">
                  <c:v>2.8746529209125894E-4</c:v>
                </c:pt>
                <c:pt idx="58">
                  <c:v>3.1561966136391893E-4</c:v>
                </c:pt>
                <c:pt idx="59">
                  <c:v>5.6359917658697E-4</c:v>
                </c:pt>
                <c:pt idx="60">
                  <c:v>6.5099242857058232E-4</c:v>
                </c:pt>
                <c:pt idx="61">
                  <c:v>1.5152980413162763E-3</c:v>
                </c:pt>
                <c:pt idx="62">
                  <c:v>1.5152980413162763E-3</c:v>
                </c:pt>
                <c:pt idx="63">
                  <c:v>1.5152980413162763E-3</c:v>
                </c:pt>
                <c:pt idx="64">
                  <c:v>1.5420309181852277E-3</c:v>
                </c:pt>
                <c:pt idx="65">
                  <c:v>1.754749472799027E-3</c:v>
                </c:pt>
                <c:pt idx="66">
                  <c:v>1.9054456264071859E-3</c:v>
                </c:pt>
                <c:pt idx="67">
                  <c:v>1.9392092034267953E-3</c:v>
                </c:pt>
                <c:pt idx="68">
                  <c:v>1.9392092034267953E-3</c:v>
                </c:pt>
                <c:pt idx="69">
                  <c:v>2.0476454699422863E-3</c:v>
                </c:pt>
                <c:pt idx="70">
                  <c:v>2.0606957057933495E-3</c:v>
                </c:pt>
                <c:pt idx="71">
                  <c:v>2.1777901845973485E-3</c:v>
                </c:pt>
                <c:pt idx="72">
                  <c:v>2.255495526611116E-3</c:v>
                </c:pt>
                <c:pt idx="73">
                  <c:v>2.2813337261524936E-3</c:v>
                </c:pt>
                <c:pt idx="74">
                  <c:v>2.3071401351289311E-3</c:v>
                </c:pt>
                <c:pt idx="75">
                  <c:v>2.3071401351289311E-3</c:v>
                </c:pt>
                <c:pt idx="76">
                  <c:v>2.9383972801739233E-3</c:v>
                </c:pt>
                <c:pt idx="77">
                  <c:v>3.0381441199734752E-3</c:v>
                </c:pt>
                <c:pt idx="78">
                  <c:v>3.0381441199734752E-3</c:v>
                </c:pt>
                <c:pt idx="79">
                  <c:v>3.0381441199734752E-3</c:v>
                </c:pt>
                <c:pt idx="80">
                  <c:v>3.0381441199734752E-3</c:v>
                </c:pt>
                <c:pt idx="81">
                  <c:v>3.0381441199734752E-3</c:v>
                </c:pt>
                <c:pt idx="82">
                  <c:v>3.2642268676136574E-3</c:v>
                </c:pt>
                <c:pt idx="83">
                  <c:v>3.2887934445574676E-3</c:v>
                </c:pt>
                <c:pt idx="84">
                  <c:v>3.3623024319992642E-3</c:v>
                </c:pt>
                <c:pt idx="85">
                  <c:v>3.3623024319992642E-3</c:v>
                </c:pt>
                <c:pt idx="86">
                  <c:v>3.4841815997701418E-3</c:v>
                </c:pt>
                <c:pt idx="87">
                  <c:v>3.701561296166553E-3</c:v>
                </c:pt>
                <c:pt idx="88">
                  <c:v>4.5420628595122976E-3</c:v>
                </c:pt>
                <c:pt idx="89">
                  <c:v>4.5877399248401033E-3</c:v>
                </c:pt>
                <c:pt idx="90">
                  <c:v>4.6787125687164435E-3</c:v>
                </c:pt>
                <c:pt idx="91">
                  <c:v>4.8815412693892684E-3</c:v>
                </c:pt>
                <c:pt idx="92">
                  <c:v>5.0849528027185438E-3</c:v>
                </c:pt>
                <c:pt idx="93">
                  <c:v>5.8330808873584706E-3</c:v>
                </c:pt>
                <c:pt idx="94">
                  <c:v>5.8330808873584706E-3</c:v>
                </c:pt>
                <c:pt idx="95">
                  <c:v>5.8540642134827089E-3</c:v>
                </c:pt>
                <c:pt idx="96">
                  <c:v>5.8540642134827089E-3</c:v>
                </c:pt>
                <c:pt idx="97">
                  <c:v>5.8540642134827089E-3</c:v>
                </c:pt>
                <c:pt idx="98">
                  <c:v>5.9822643421783422E-3</c:v>
                </c:pt>
                <c:pt idx="99">
                  <c:v>6.065098601430256E-3</c:v>
                </c:pt>
                <c:pt idx="100">
                  <c:v>6.1883962733599489E-3</c:v>
                </c:pt>
                <c:pt idx="101">
                  <c:v>6.2931690951532667E-3</c:v>
                </c:pt>
                <c:pt idx="102">
                  <c:v>6.330797086573193E-3</c:v>
                </c:pt>
                <c:pt idx="103">
                  <c:v>6.4516150944376313E-3</c:v>
                </c:pt>
                <c:pt idx="104">
                  <c:v>6.4716401621044174E-3</c:v>
                </c:pt>
                <c:pt idx="105">
                  <c:v>7.2063497245836048E-3</c:v>
                </c:pt>
                <c:pt idx="106">
                  <c:v>7.246574605525735E-3</c:v>
                </c:pt>
                <c:pt idx="107">
                  <c:v>7.246574605525735E-3</c:v>
                </c:pt>
                <c:pt idx="108">
                  <c:v>7.2999807046513886E-3</c:v>
                </c:pt>
                <c:pt idx="109">
                  <c:v>7.3026441973437573E-3</c:v>
                </c:pt>
                <c:pt idx="110">
                  <c:v>7.3026441973437573E-3</c:v>
                </c:pt>
                <c:pt idx="111">
                  <c:v>7.3372105627239293E-3</c:v>
                </c:pt>
                <c:pt idx="112">
                  <c:v>7.4691362822911084E-3</c:v>
                </c:pt>
                <c:pt idx="113">
                  <c:v>7.487476450016118E-3</c:v>
                </c:pt>
                <c:pt idx="114">
                  <c:v>7.5579193037042768E-3</c:v>
                </c:pt>
                <c:pt idx="115">
                  <c:v>7.5605192152667661E-3</c:v>
                </c:pt>
                <c:pt idx="116">
                  <c:v>7.5968498545024542E-3</c:v>
                </c:pt>
                <c:pt idx="117">
                  <c:v>7.6691296461945625E-3</c:v>
                </c:pt>
                <c:pt idx="118">
                  <c:v>8.2943493964944721E-3</c:v>
                </c:pt>
                <c:pt idx="119">
                  <c:v>8.4116356634057702E-3</c:v>
                </c:pt>
                <c:pt idx="120">
                  <c:v>8.4116356634057702E-3</c:v>
                </c:pt>
                <c:pt idx="121">
                  <c:v>8.4116356634057702E-3</c:v>
                </c:pt>
                <c:pt idx="122">
                  <c:v>8.4116356634057702E-3</c:v>
                </c:pt>
                <c:pt idx="123">
                  <c:v>8.4472282048853355E-3</c:v>
                </c:pt>
                <c:pt idx="124">
                  <c:v>8.543769677408046E-3</c:v>
                </c:pt>
                <c:pt idx="125">
                  <c:v>8.5951228093432714E-3</c:v>
                </c:pt>
                <c:pt idx="126">
                  <c:v>8.609073710850644E-3</c:v>
                </c:pt>
                <c:pt idx="127">
                  <c:v>8.6438487806603445E-3</c:v>
                </c:pt>
                <c:pt idx="128">
                  <c:v>8.673869095254215E-3</c:v>
                </c:pt>
                <c:pt idx="129">
                  <c:v>8.673869095254215E-3</c:v>
                </c:pt>
                <c:pt idx="130">
                  <c:v>8.6761738087136973E-3</c:v>
                </c:pt>
                <c:pt idx="131">
                  <c:v>9.3086949892344333E-3</c:v>
                </c:pt>
                <c:pt idx="132">
                  <c:v>1.0061390424347368E-2</c:v>
                </c:pt>
                <c:pt idx="133">
                  <c:v>1.0180013277048674E-2</c:v>
                </c:pt>
                <c:pt idx="134">
                  <c:v>1.0180013277048674E-2</c:v>
                </c:pt>
                <c:pt idx="135">
                  <c:v>1.0180013277048674E-2</c:v>
                </c:pt>
                <c:pt idx="136">
                  <c:v>1.0180013277048674E-2</c:v>
                </c:pt>
                <c:pt idx="137">
                  <c:v>1.0294187175124703E-2</c:v>
                </c:pt>
                <c:pt idx="138">
                  <c:v>1.0356504448727403E-2</c:v>
                </c:pt>
                <c:pt idx="139">
                  <c:v>1.0454558977114888E-2</c:v>
                </c:pt>
                <c:pt idx="140">
                  <c:v>1.0768861457161747E-2</c:v>
                </c:pt>
                <c:pt idx="141">
                  <c:v>1.0791349576121066E-2</c:v>
                </c:pt>
                <c:pt idx="142">
                  <c:v>1.103182769063411E-2</c:v>
                </c:pt>
                <c:pt idx="143">
                  <c:v>1.143463414162663E-2</c:v>
                </c:pt>
                <c:pt idx="144">
                  <c:v>1.2022219003965499E-2</c:v>
                </c:pt>
                <c:pt idx="145">
                  <c:v>1.2121973846654727E-2</c:v>
                </c:pt>
                <c:pt idx="146">
                  <c:v>1.2128369844981165E-2</c:v>
                </c:pt>
                <c:pt idx="147">
                  <c:v>1.23314489156339E-2</c:v>
                </c:pt>
                <c:pt idx="148">
                  <c:v>1.2352282490235875E-2</c:v>
                </c:pt>
                <c:pt idx="149">
                  <c:v>1.256927668794576E-2</c:v>
                </c:pt>
                <c:pt idx="150">
                  <c:v>1.2599559604761681E-2</c:v>
                </c:pt>
                <c:pt idx="151">
                  <c:v>1.2656870968298884E-2</c:v>
                </c:pt>
                <c:pt idx="152">
                  <c:v>1.2659520221471774E-2</c:v>
                </c:pt>
                <c:pt idx="153">
                  <c:v>1.2667277237600808E-2</c:v>
                </c:pt>
                <c:pt idx="154">
                  <c:v>1.2667277237600808E-2</c:v>
                </c:pt>
                <c:pt idx="155">
                  <c:v>1.2669799328513944E-2</c:v>
                </c:pt>
                <c:pt idx="156">
                  <c:v>1.2723974930862206E-2</c:v>
                </c:pt>
                <c:pt idx="157">
                  <c:v>1.2723974930862206E-2</c:v>
                </c:pt>
                <c:pt idx="158">
                  <c:v>1.273045733614878E-2</c:v>
                </c:pt>
                <c:pt idx="159">
                  <c:v>1.2731998461058078E-2</c:v>
                </c:pt>
                <c:pt idx="160">
                  <c:v>1.2739422085137253E-2</c:v>
                </c:pt>
                <c:pt idx="161">
                  <c:v>1.2742081974593084E-2</c:v>
                </c:pt>
                <c:pt idx="162">
                  <c:v>1.2744614701789152E-2</c:v>
                </c:pt>
                <c:pt idx="163">
                  <c:v>1.2762948049463256E-2</c:v>
                </c:pt>
                <c:pt idx="164">
                  <c:v>1.239638430899645E-2</c:v>
                </c:pt>
                <c:pt idx="165">
                  <c:v>1.1642500825150465E-2</c:v>
                </c:pt>
                <c:pt idx="166">
                  <c:v>1.1640081942069717E-2</c:v>
                </c:pt>
                <c:pt idx="167">
                  <c:v>1.163280972193852E-2</c:v>
                </c:pt>
                <c:pt idx="168">
                  <c:v>1.1604716507624548E-2</c:v>
                </c:pt>
                <c:pt idx="169">
                  <c:v>1.1589304506742542E-2</c:v>
                </c:pt>
                <c:pt idx="170">
                  <c:v>1.1478582057270408E-2</c:v>
                </c:pt>
                <c:pt idx="171">
                  <c:v>1.1143585703929433E-2</c:v>
                </c:pt>
                <c:pt idx="172">
                  <c:v>1.1143585703929433E-2</c:v>
                </c:pt>
                <c:pt idx="173">
                  <c:v>1.1101202340077179E-2</c:v>
                </c:pt>
                <c:pt idx="174">
                  <c:v>1.1090890125773439E-2</c:v>
                </c:pt>
                <c:pt idx="175">
                  <c:v>1.0930848152165395E-2</c:v>
                </c:pt>
                <c:pt idx="176">
                  <c:v>1.0536448635586025E-2</c:v>
                </c:pt>
                <c:pt idx="177">
                  <c:v>1.0536448635586025E-2</c:v>
                </c:pt>
                <c:pt idx="178">
                  <c:v>1.0502281460109859E-2</c:v>
                </c:pt>
                <c:pt idx="179">
                  <c:v>1.0391202559023736E-2</c:v>
                </c:pt>
                <c:pt idx="180">
                  <c:v>1.0382412604112053E-2</c:v>
                </c:pt>
                <c:pt idx="181">
                  <c:v>1.030436160846061E-2</c:v>
                </c:pt>
                <c:pt idx="182">
                  <c:v>1.030436160846061E-2</c:v>
                </c:pt>
                <c:pt idx="183">
                  <c:v>1.0281060711419977E-2</c:v>
                </c:pt>
                <c:pt idx="184">
                  <c:v>1.0172097266077301E-2</c:v>
                </c:pt>
                <c:pt idx="185">
                  <c:v>1.0151867283092187E-2</c:v>
                </c:pt>
                <c:pt idx="186">
                  <c:v>1.007764194582051E-2</c:v>
                </c:pt>
                <c:pt idx="187">
                  <c:v>9.6064407439624654E-3</c:v>
                </c:pt>
                <c:pt idx="188">
                  <c:v>9.5820866436616935E-3</c:v>
                </c:pt>
                <c:pt idx="189">
                  <c:v>9.537194813424129E-3</c:v>
                </c:pt>
                <c:pt idx="190">
                  <c:v>9.5074353309517537E-3</c:v>
                </c:pt>
                <c:pt idx="191">
                  <c:v>9.5002315708046098E-3</c:v>
                </c:pt>
                <c:pt idx="192">
                  <c:v>9.1904969245893975E-3</c:v>
                </c:pt>
                <c:pt idx="193">
                  <c:v>8.5594049716463255E-3</c:v>
                </c:pt>
                <c:pt idx="194">
                  <c:v>8.3320601531129343E-3</c:v>
                </c:pt>
                <c:pt idx="195">
                  <c:v>7.8997319525557705E-3</c:v>
                </c:pt>
                <c:pt idx="196">
                  <c:v>7.8997319525557705E-3</c:v>
                </c:pt>
                <c:pt idx="197">
                  <c:v>7.7630568325963434E-3</c:v>
                </c:pt>
                <c:pt idx="198">
                  <c:v>7.5180180720247486E-3</c:v>
                </c:pt>
                <c:pt idx="199">
                  <c:v>7.4656848594404773E-3</c:v>
                </c:pt>
                <c:pt idx="200">
                  <c:v>7.3151114404169659E-3</c:v>
                </c:pt>
                <c:pt idx="201">
                  <c:v>7.1543358620938385E-3</c:v>
                </c:pt>
                <c:pt idx="202">
                  <c:v>6.6199223899707435E-3</c:v>
                </c:pt>
                <c:pt idx="203">
                  <c:v>6.6199223899707435E-3</c:v>
                </c:pt>
                <c:pt idx="204">
                  <c:v>6.5135438287561437E-3</c:v>
                </c:pt>
                <c:pt idx="205">
                  <c:v>6.5135438287561437E-3</c:v>
                </c:pt>
                <c:pt idx="206">
                  <c:v>6.5007170910351617E-3</c:v>
                </c:pt>
                <c:pt idx="207">
                  <c:v>6.4878772153766154E-3</c:v>
                </c:pt>
                <c:pt idx="208">
                  <c:v>6.4335195653339589E-3</c:v>
                </c:pt>
                <c:pt idx="209">
                  <c:v>6.3501010700156291E-3</c:v>
                </c:pt>
                <c:pt idx="210">
                  <c:v>6.2588731121505578E-3</c:v>
                </c:pt>
                <c:pt idx="211">
                  <c:v>6.2486969341815982E-3</c:v>
                </c:pt>
                <c:pt idx="212">
                  <c:v>6.2457879949910505E-3</c:v>
                </c:pt>
                <c:pt idx="213">
                  <c:v>6.2457879949910505E-3</c:v>
                </c:pt>
                <c:pt idx="214">
                  <c:v>6.2079127458934055E-3</c:v>
                </c:pt>
                <c:pt idx="215">
                  <c:v>6.2049947236843123E-3</c:v>
                </c:pt>
                <c:pt idx="216">
                  <c:v>6.1435663874871496E-3</c:v>
                </c:pt>
                <c:pt idx="217">
                  <c:v>6.0257685126376206E-3</c:v>
                </c:pt>
                <c:pt idx="218">
                  <c:v>5.2347796315722339E-3</c:v>
                </c:pt>
                <c:pt idx="219">
                  <c:v>5.1312483280326476E-3</c:v>
                </c:pt>
                <c:pt idx="220">
                  <c:v>5.0871125058980157E-3</c:v>
                </c:pt>
                <c:pt idx="221">
                  <c:v>4.9427928696040152E-3</c:v>
                </c:pt>
                <c:pt idx="222">
                  <c:v>4.9061038380610045E-3</c:v>
                </c:pt>
                <c:pt idx="223">
                  <c:v>3.7518580809995164E-3</c:v>
                </c:pt>
                <c:pt idx="224">
                  <c:v>3.4344256992933433E-3</c:v>
                </c:pt>
                <c:pt idx="225">
                  <c:v>3.3646920183076703E-3</c:v>
                </c:pt>
                <c:pt idx="226">
                  <c:v>2.331752009334824E-3</c:v>
                </c:pt>
                <c:pt idx="227">
                  <c:v>2.328071662354228E-3</c:v>
                </c:pt>
                <c:pt idx="228">
                  <c:v>2.328071662354228E-3</c:v>
                </c:pt>
                <c:pt idx="229">
                  <c:v>2.3170267286902052E-3</c:v>
                </c:pt>
                <c:pt idx="230">
                  <c:v>2.272788603200529E-3</c:v>
                </c:pt>
                <c:pt idx="231">
                  <c:v>2.272788603200529E-3</c:v>
                </c:pt>
                <c:pt idx="232">
                  <c:v>1.8328041726252478E-3</c:v>
                </c:pt>
                <c:pt idx="233">
                  <c:v>8.511356711542184E-4</c:v>
                </c:pt>
                <c:pt idx="234">
                  <c:v>8.511356711542184E-4</c:v>
                </c:pt>
                <c:pt idx="235">
                  <c:v>7.1310426300098123E-4</c:v>
                </c:pt>
                <c:pt idx="236">
                  <c:v>5.1453786460868567E-4</c:v>
                </c:pt>
                <c:pt idx="237">
                  <c:v>4.0263220606178568E-4</c:v>
                </c:pt>
                <c:pt idx="238">
                  <c:v>-9.7568693981237714E-4</c:v>
                </c:pt>
                <c:pt idx="239">
                  <c:v>-1.5474014333066097E-3</c:v>
                </c:pt>
                <c:pt idx="240">
                  <c:v>-2.8155864325330113E-3</c:v>
                </c:pt>
                <c:pt idx="241">
                  <c:v>-2.9643355975828081E-3</c:v>
                </c:pt>
                <c:pt idx="242">
                  <c:v>-2.9643355975828081E-3</c:v>
                </c:pt>
                <c:pt idx="243">
                  <c:v>-2.9643355975828081E-3</c:v>
                </c:pt>
                <c:pt idx="244">
                  <c:v>-3.1865089830919943E-3</c:v>
                </c:pt>
                <c:pt idx="245">
                  <c:v>-3.1865089830919943E-3</c:v>
                </c:pt>
                <c:pt idx="246">
                  <c:v>-3.1865089830919943E-3</c:v>
                </c:pt>
                <c:pt idx="247">
                  <c:v>-4.5902088638289928E-3</c:v>
                </c:pt>
                <c:pt idx="248">
                  <c:v>-4.6139468721324781E-3</c:v>
                </c:pt>
                <c:pt idx="249">
                  <c:v>-4.6947774235407344E-3</c:v>
                </c:pt>
                <c:pt idx="250">
                  <c:v>-4.6947774235407344E-3</c:v>
                </c:pt>
                <c:pt idx="251">
                  <c:v>-4.7901122411080285E-3</c:v>
                </c:pt>
                <c:pt idx="252">
                  <c:v>-4.7948857942503031E-3</c:v>
                </c:pt>
                <c:pt idx="253">
                  <c:v>-5.5426303666122195E-3</c:v>
                </c:pt>
                <c:pt idx="254">
                  <c:v>-6.799147044156989E-3</c:v>
                </c:pt>
                <c:pt idx="255">
                  <c:v>-6.963254163659921E-3</c:v>
                </c:pt>
                <c:pt idx="256">
                  <c:v>-6.983499324437252E-3</c:v>
                </c:pt>
                <c:pt idx="257">
                  <c:v>-9.3005889081360163E-3</c:v>
                </c:pt>
                <c:pt idx="258">
                  <c:v>-9.3059405305305626E-3</c:v>
                </c:pt>
                <c:pt idx="259">
                  <c:v>-9.660582076714809E-3</c:v>
                </c:pt>
                <c:pt idx="260">
                  <c:v>-9.7686071687761861E-3</c:v>
                </c:pt>
                <c:pt idx="261">
                  <c:v>-1.1938289824199005E-2</c:v>
                </c:pt>
                <c:pt idx="262">
                  <c:v>-1.1943952215585502E-2</c:v>
                </c:pt>
                <c:pt idx="263">
                  <c:v>-1.3871487329604838E-2</c:v>
                </c:pt>
                <c:pt idx="264">
                  <c:v>-1.6700284848040384E-2</c:v>
                </c:pt>
                <c:pt idx="265">
                  <c:v>-1.8853049797985175E-2</c:v>
                </c:pt>
                <c:pt idx="266">
                  <c:v>-1.9912289304307676E-2</c:v>
                </c:pt>
                <c:pt idx="267">
                  <c:v>-2.21100219565534E-2</c:v>
                </c:pt>
                <c:pt idx="268">
                  <c:v>-2.5252181736333298E-2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9C-4115-8F5C-7ACF95C4BC3C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Active!$F$21:$F$2840</c:f>
              <c:numCache>
                <c:formatCode>General</c:formatCode>
                <c:ptCount val="2820"/>
                <c:pt idx="0">
                  <c:v>-22098.5</c:v>
                </c:pt>
                <c:pt idx="1">
                  <c:v>-21731</c:v>
                </c:pt>
                <c:pt idx="2">
                  <c:v>-20458</c:v>
                </c:pt>
                <c:pt idx="3">
                  <c:v>-20303</c:v>
                </c:pt>
                <c:pt idx="4">
                  <c:v>-19192</c:v>
                </c:pt>
                <c:pt idx="5">
                  <c:v>-19157</c:v>
                </c:pt>
                <c:pt idx="6">
                  <c:v>-13667</c:v>
                </c:pt>
                <c:pt idx="7">
                  <c:v>-13639</c:v>
                </c:pt>
                <c:pt idx="8">
                  <c:v>-13611</c:v>
                </c:pt>
                <c:pt idx="9">
                  <c:v>-12751</c:v>
                </c:pt>
                <c:pt idx="10">
                  <c:v>-11947</c:v>
                </c:pt>
                <c:pt idx="11">
                  <c:v>-11562</c:v>
                </c:pt>
                <c:pt idx="12">
                  <c:v>-11561</c:v>
                </c:pt>
                <c:pt idx="13">
                  <c:v>-5568</c:v>
                </c:pt>
                <c:pt idx="14">
                  <c:v>-5568</c:v>
                </c:pt>
                <c:pt idx="15">
                  <c:v>-5021</c:v>
                </c:pt>
                <c:pt idx="16">
                  <c:v>-3876</c:v>
                </c:pt>
                <c:pt idx="17">
                  <c:v>-3741</c:v>
                </c:pt>
                <c:pt idx="18">
                  <c:v>-3728</c:v>
                </c:pt>
                <c:pt idx="19">
                  <c:v>-3728</c:v>
                </c:pt>
                <c:pt idx="20">
                  <c:v>-3727</c:v>
                </c:pt>
                <c:pt idx="21">
                  <c:v>-3727</c:v>
                </c:pt>
                <c:pt idx="22">
                  <c:v>-3685</c:v>
                </c:pt>
                <c:pt idx="23">
                  <c:v>-3672</c:v>
                </c:pt>
                <c:pt idx="24">
                  <c:v>-2556</c:v>
                </c:pt>
                <c:pt idx="25">
                  <c:v>-2499</c:v>
                </c:pt>
                <c:pt idx="26">
                  <c:v>-2115</c:v>
                </c:pt>
                <c:pt idx="27">
                  <c:v>-2024</c:v>
                </c:pt>
                <c:pt idx="28">
                  <c:v>-1604</c:v>
                </c:pt>
                <c:pt idx="29">
                  <c:v>-896</c:v>
                </c:pt>
                <c:pt idx="30">
                  <c:v>-860</c:v>
                </c:pt>
                <c:pt idx="31">
                  <c:v>-847</c:v>
                </c:pt>
                <c:pt idx="32">
                  <c:v>-748</c:v>
                </c:pt>
                <c:pt idx="33">
                  <c:v>-734</c:v>
                </c:pt>
                <c:pt idx="34">
                  <c:v>-699</c:v>
                </c:pt>
                <c:pt idx="35">
                  <c:v>-490</c:v>
                </c:pt>
                <c:pt idx="36">
                  <c:v>-433</c:v>
                </c:pt>
                <c:pt idx="37">
                  <c:v>-433</c:v>
                </c:pt>
                <c:pt idx="38">
                  <c:v>-433</c:v>
                </c:pt>
                <c:pt idx="39">
                  <c:v>-384</c:v>
                </c:pt>
                <c:pt idx="40">
                  <c:v>-377</c:v>
                </c:pt>
                <c:pt idx="41">
                  <c:v>-370</c:v>
                </c:pt>
                <c:pt idx="42">
                  <c:v>-370</c:v>
                </c:pt>
                <c:pt idx="43">
                  <c:v>-314</c:v>
                </c:pt>
                <c:pt idx="44">
                  <c:v>-244</c:v>
                </c:pt>
                <c:pt idx="45">
                  <c:v>-244</c:v>
                </c:pt>
                <c:pt idx="46">
                  <c:v>0</c:v>
                </c:pt>
                <c:pt idx="47">
                  <c:v>0</c:v>
                </c:pt>
                <c:pt idx="48">
                  <c:v>28</c:v>
                </c:pt>
                <c:pt idx="49">
                  <c:v>28</c:v>
                </c:pt>
                <c:pt idx="50">
                  <c:v>35</c:v>
                </c:pt>
                <c:pt idx="51">
                  <c:v>35</c:v>
                </c:pt>
                <c:pt idx="52">
                  <c:v>36</c:v>
                </c:pt>
                <c:pt idx="53">
                  <c:v>41</c:v>
                </c:pt>
                <c:pt idx="54">
                  <c:v>70</c:v>
                </c:pt>
                <c:pt idx="55">
                  <c:v>70</c:v>
                </c:pt>
                <c:pt idx="56">
                  <c:v>70</c:v>
                </c:pt>
                <c:pt idx="57">
                  <c:v>71</c:v>
                </c:pt>
                <c:pt idx="58">
                  <c:v>78</c:v>
                </c:pt>
                <c:pt idx="59">
                  <c:v>140</c:v>
                </c:pt>
                <c:pt idx="60">
                  <c:v>162</c:v>
                </c:pt>
                <c:pt idx="61">
                  <c:v>384</c:v>
                </c:pt>
                <c:pt idx="62">
                  <c:v>384</c:v>
                </c:pt>
                <c:pt idx="63">
                  <c:v>384</c:v>
                </c:pt>
                <c:pt idx="64">
                  <c:v>391</c:v>
                </c:pt>
                <c:pt idx="65">
                  <c:v>447</c:v>
                </c:pt>
                <c:pt idx="66">
                  <c:v>487</c:v>
                </c:pt>
                <c:pt idx="67">
                  <c:v>496</c:v>
                </c:pt>
                <c:pt idx="68">
                  <c:v>496</c:v>
                </c:pt>
                <c:pt idx="69">
                  <c:v>525</c:v>
                </c:pt>
                <c:pt idx="70">
                  <c:v>528.5</c:v>
                </c:pt>
                <c:pt idx="71">
                  <c:v>560</c:v>
                </c:pt>
                <c:pt idx="72">
                  <c:v>581</c:v>
                </c:pt>
                <c:pt idx="73">
                  <c:v>588</c:v>
                </c:pt>
                <c:pt idx="74">
                  <c:v>595</c:v>
                </c:pt>
                <c:pt idx="75">
                  <c:v>595</c:v>
                </c:pt>
                <c:pt idx="76">
                  <c:v>769</c:v>
                </c:pt>
                <c:pt idx="77">
                  <c:v>797</c:v>
                </c:pt>
                <c:pt idx="78">
                  <c:v>797</c:v>
                </c:pt>
                <c:pt idx="79">
                  <c:v>797</c:v>
                </c:pt>
                <c:pt idx="80">
                  <c:v>797</c:v>
                </c:pt>
                <c:pt idx="81">
                  <c:v>797</c:v>
                </c:pt>
                <c:pt idx="82">
                  <c:v>861</c:v>
                </c:pt>
                <c:pt idx="83">
                  <c:v>868</c:v>
                </c:pt>
                <c:pt idx="84">
                  <c:v>889</c:v>
                </c:pt>
                <c:pt idx="85">
                  <c:v>889</c:v>
                </c:pt>
                <c:pt idx="86">
                  <c:v>924</c:v>
                </c:pt>
                <c:pt idx="87">
                  <c:v>987</c:v>
                </c:pt>
                <c:pt idx="88">
                  <c:v>1238</c:v>
                </c:pt>
                <c:pt idx="89">
                  <c:v>1252</c:v>
                </c:pt>
                <c:pt idx="90">
                  <c:v>1280</c:v>
                </c:pt>
                <c:pt idx="91">
                  <c:v>1343</c:v>
                </c:pt>
                <c:pt idx="92">
                  <c:v>1407</c:v>
                </c:pt>
                <c:pt idx="93">
                  <c:v>1650</c:v>
                </c:pt>
                <c:pt idx="94">
                  <c:v>1650</c:v>
                </c:pt>
                <c:pt idx="95">
                  <c:v>1657</c:v>
                </c:pt>
                <c:pt idx="96">
                  <c:v>1657</c:v>
                </c:pt>
                <c:pt idx="97">
                  <c:v>1657</c:v>
                </c:pt>
                <c:pt idx="98">
                  <c:v>1700</c:v>
                </c:pt>
                <c:pt idx="99">
                  <c:v>1728</c:v>
                </c:pt>
                <c:pt idx="100">
                  <c:v>1770</c:v>
                </c:pt>
                <c:pt idx="101">
                  <c:v>1806</c:v>
                </c:pt>
                <c:pt idx="102">
                  <c:v>1819</c:v>
                </c:pt>
                <c:pt idx="103">
                  <c:v>1861</c:v>
                </c:pt>
                <c:pt idx="104">
                  <c:v>1868</c:v>
                </c:pt>
                <c:pt idx="105">
                  <c:v>2133</c:v>
                </c:pt>
                <c:pt idx="106">
                  <c:v>2148</c:v>
                </c:pt>
                <c:pt idx="107">
                  <c:v>2148</c:v>
                </c:pt>
                <c:pt idx="108">
                  <c:v>2168</c:v>
                </c:pt>
                <c:pt idx="109">
                  <c:v>2169</c:v>
                </c:pt>
                <c:pt idx="110">
                  <c:v>2169</c:v>
                </c:pt>
                <c:pt idx="111">
                  <c:v>2182</c:v>
                </c:pt>
                <c:pt idx="112">
                  <c:v>2232</c:v>
                </c:pt>
                <c:pt idx="113">
                  <c:v>2239</c:v>
                </c:pt>
                <c:pt idx="114">
                  <c:v>2266</c:v>
                </c:pt>
                <c:pt idx="115">
                  <c:v>2267</c:v>
                </c:pt>
                <c:pt idx="116">
                  <c:v>2281</c:v>
                </c:pt>
                <c:pt idx="117">
                  <c:v>2309</c:v>
                </c:pt>
                <c:pt idx="118">
                  <c:v>2560</c:v>
                </c:pt>
                <c:pt idx="119">
                  <c:v>2609</c:v>
                </c:pt>
                <c:pt idx="120">
                  <c:v>2609</c:v>
                </c:pt>
                <c:pt idx="121">
                  <c:v>2609</c:v>
                </c:pt>
                <c:pt idx="122">
                  <c:v>2609</c:v>
                </c:pt>
                <c:pt idx="123">
                  <c:v>2624</c:v>
                </c:pt>
                <c:pt idx="124">
                  <c:v>2665</c:v>
                </c:pt>
                <c:pt idx="125">
                  <c:v>2687</c:v>
                </c:pt>
                <c:pt idx="126">
                  <c:v>2693</c:v>
                </c:pt>
                <c:pt idx="127">
                  <c:v>2708</c:v>
                </c:pt>
                <c:pt idx="128">
                  <c:v>2721</c:v>
                </c:pt>
                <c:pt idx="129">
                  <c:v>2721</c:v>
                </c:pt>
                <c:pt idx="130">
                  <c:v>2722</c:v>
                </c:pt>
                <c:pt idx="131">
                  <c:v>3008</c:v>
                </c:pt>
                <c:pt idx="132">
                  <c:v>3385</c:v>
                </c:pt>
                <c:pt idx="133">
                  <c:v>3449</c:v>
                </c:pt>
                <c:pt idx="134">
                  <c:v>3449</c:v>
                </c:pt>
                <c:pt idx="135">
                  <c:v>3449</c:v>
                </c:pt>
                <c:pt idx="136">
                  <c:v>3449</c:v>
                </c:pt>
                <c:pt idx="137">
                  <c:v>3512</c:v>
                </c:pt>
                <c:pt idx="138">
                  <c:v>3547</c:v>
                </c:pt>
                <c:pt idx="139">
                  <c:v>3603</c:v>
                </c:pt>
                <c:pt idx="140">
                  <c:v>3791</c:v>
                </c:pt>
                <c:pt idx="141">
                  <c:v>3805</c:v>
                </c:pt>
                <c:pt idx="142">
                  <c:v>3960</c:v>
                </c:pt>
                <c:pt idx="143">
                  <c:v>4246</c:v>
                </c:pt>
                <c:pt idx="144">
                  <c:v>4757</c:v>
                </c:pt>
                <c:pt idx="145">
                  <c:v>4862</c:v>
                </c:pt>
                <c:pt idx="146">
                  <c:v>4869</c:v>
                </c:pt>
                <c:pt idx="147">
                  <c:v>5113</c:v>
                </c:pt>
                <c:pt idx="148">
                  <c:v>5141</c:v>
                </c:pt>
                <c:pt idx="149">
                  <c:v>5490</c:v>
                </c:pt>
                <c:pt idx="150">
                  <c:v>5552</c:v>
                </c:pt>
                <c:pt idx="151">
                  <c:v>5687</c:v>
                </c:pt>
                <c:pt idx="152">
                  <c:v>5694</c:v>
                </c:pt>
                <c:pt idx="153">
                  <c:v>5715</c:v>
                </c:pt>
                <c:pt idx="154">
                  <c:v>5715</c:v>
                </c:pt>
                <c:pt idx="155">
                  <c:v>5722</c:v>
                </c:pt>
                <c:pt idx="156">
                  <c:v>5903</c:v>
                </c:pt>
                <c:pt idx="157">
                  <c:v>5903</c:v>
                </c:pt>
                <c:pt idx="158">
                  <c:v>5931</c:v>
                </c:pt>
                <c:pt idx="159">
                  <c:v>5938</c:v>
                </c:pt>
                <c:pt idx="160">
                  <c:v>5974</c:v>
                </c:pt>
                <c:pt idx="161">
                  <c:v>5988</c:v>
                </c:pt>
                <c:pt idx="162">
                  <c:v>6002</c:v>
                </c:pt>
                <c:pt idx="163">
                  <c:v>6142</c:v>
                </c:pt>
                <c:pt idx="164">
                  <c:v>7345</c:v>
                </c:pt>
                <c:pt idx="165">
                  <c:v>8137</c:v>
                </c:pt>
                <c:pt idx="166">
                  <c:v>8139</c:v>
                </c:pt>
                <c:pt idx="167">
                  <c:v>8145</c:v>
                </c:pt>
                <c:pt idx="168">
                  <c:v>8168</c:v>
                </c:pt>
                <c:pt idx="169">
                  <c:v>8180.5</c:v>
                </c:pt>
                <c:pt idx="170">
                  <c:v>8268</c:v>
                </c:pt>
                <c:pt idx="171">
                  <c:v>8512</c:v>
                </c:pt>
                <c:pt idx="172">
                  <c:v>8512</c:v>
                </c:pt>
                <c:pt idx="173">
                  <c:v>8541</c:v>
                </c:pt>
                <c:pt idx="174">
                  <c:v>8548</c:v>
                </c:pt>
                <c:pt idx="175">
                  <c:v>8654</c:v>
                </c:pt>
                <c:pt idx="176">
                  <c:v>8897</c:v>
                </c:pt>
                <c:pt idx="177">
                  <c:v>8897</c:v>
                </c:pt>
                <c:pt idx="178">
                  <c:v>8917</c:v>
                </c:pt>
                <c:pt idx="179">
                  <c:v>8981</c:v>
                </c:pt>
                <c:pt idx="180">
                  <c:v>8986</c:v>
                </c:pt>
                <c:pt idx="181">
                  <c:v>9030</c:v>
                </c:pt>
                <c:pt idx="182">
                  <c:v>9030</c:v>
                </c:pt>
                <c:pt idx="183">
                  <c:v>9043</c:v>
                </c:pt>
                <c:pt idx="184">
                  <c:v>9103</c:v>
                </c:pt>
                <c:pt idx="185">
                  <c:v>9114</c:v>
                </c:pt>
                <c:pt idx="186">
                  <c:v>9154</c:v>
                </c:pt>
                <c:pt idx="187">
                  <c:v>9396</c:v>
                </c:pt>
                <c:pt idx="188">
                  <c:v>9408</c:v>
                </c:pt>
                <c:pt idx="189">
                  <c:v>9430</c:v>
                </c:pt>
                <c:pt idx="190">
                  <c:v>9444.5</c:v>
                </c:pt>
                <c:pt idx="191">
                  <c:v>9448</c:v>
                </c:pt>
                <c:pt idx="192">
                  <c:v>9595</c:v>
                </c:pt>
                <c:pt idx="193">
                  <c:v>9876</c:v>
                </c:pt>
                <c:pt idx="194">
                  <c:v>9972</c:v>
                </c:pt>
                <c:pt idx="195">
                  <c:v>10148</c:v>
                </c:pt>
                <c:pt idx="196">
                  <c:v>10148</c:v>
                </c:pt>
                <c:pt idx="197">
                  <c:v>10202</c:v>
                </c:pt>
                <c:pt idx="198">
                  <c:v>10297</c:v>
                </c:pt>
                <c:pt idx="199">
                  <c:v>10317</c:v>
                </c:pt>
                <c:pt idx="200">
                  <c:v>10374</c:v>
                </c:pt>
                <c:pt idx="201">
                  <c:v>10434</c:v>
                </c:pt>
                <c:pt idx="202">
                  <c:v>10627.5</c:v>
                </c:pt>
                <c:pt idx="203">
                  <c:v>10627.5</c:v>
                </c:pt>
                <c:pt idx="204">
                  <c:v>10665</c:v>
                </c:pt>
                <c:pt idx="205">
                  <c:v>10665</c:v>
                </c:pt>
                <c:pt idx="206">
                  <c:v>10669.5</c:v>
                </c:pt>
                <c:pt idx="207">
                  <c:v>10674</c:v>
                </c:pt>
                <c:pt idx="208">
                  <c:v>10693</c:v>
                </c:pt>
                <c:pt idx="209">
                  <c:v>10722</c:v>
                </c:pt>
                <c:pt idx="210">
                  <c:v>10753.5</c:v>
                </c:pt>
                <c:pt idx="211">
                  <c:v>10757</c:v>
                </c:pt>
                <c:pt idx="212">
                  <c:v>10758</c:v>
                </c:pt>
                <c:pt idx="213">
                  <c:v>10758</c:v>
                </c:pt>
                <c:pt idx="214">
                  <c:v>10771</c:v>
                </c:pt>
                <c:pt idx="215">
                  <c:v>10772</c:v>
                </c:pt>
                <c:pt idx="216">
                  <c:v>10793</c:v>
                </c:pt>
                <c:pt idx="217">
                  <c:v>10833</c:v>
                </c:pt>
                <c:pt idx="218">
                  <c:v>11093</c:v>
                </c:pt>
                <c:pt idx="219">
                  <c:v>11126</c:v>
                </c:pt>
                <c:pt idx="220">
                  <c:v>11140</c:v>
                </c:pt>
                <c:pt idx="221">
                  <c:v>11185.5</c:v>
                </c:pt>
                <c:pt idx="222">
                  <c:v>11197</c:v>
                </c:pt>
                <c:pt idx="223">
                  <c:v>11546</c:v>
                </c:pt>
                <c:pt idx="224">
                  <c:v>11638</c:v>
                </c:pt>
                <c:pt idx="225">
                  <c:v>11658</c:v>
                </c:pt>
                <c:pt idx="226">
                  <c:v>11946</c:v>
                </c:pt>
                <c:pt idx="227">
                  <c:v>11947</c:v>
                </c:pt>
                <c:pt idx="228">
                  <c:v>11947</c:v>
                </c:pt>
                <c:pt idx="229">
                  <c:v>11950</c:v>
                </c:pt>
                <c:pt idx="230">
                  <c:v>11962</c:v>
                </c:pt>
                <c:pt idx="231">
                  <c:v>11962</c:v>
                </c:pt>
                <c:pt idx="232">
                  <c:v>12080</c:v>
                </c:pt>
                <c:pt idx="233">
                  <c:v>12335</c:v>
                </c:pt>
                <c:pt idx="234">
                  <c:v>12335</c:v>
                </c:pt>
                <c:pt idx="235">
                  <c:v>12370</c:v>
                </c:pt>
                <c:pt idx="236">
                  <c:v>12420</c:v>
                </c:pt>
                <c:pt idx="237">
                  <c:v>12448</c:v>
                </c:pt>
                <c:pt idx="238">
                  <c:v>12783</c:v>
                </c:pt>
                <c:pt idx="239">
                  <c:v>12917</c:v>
                </c:pt>
                <c:pt idx="240">
                  <c:v>13205</c:v>
                </c:pt>
                <c:pt idx="241">
                  <c:v>13238</c:v>
                </c:pt>
                <c:pt idx="242">
                  <c:v>13238</c:v>
                </c:pt>
                <c:pt idx="243">
                  <c:v>13238</c:v>
                </c:pt>
                <c:pt idx="244">
                  <c:v>13287</c:v>
                </c:pt>
                <c:pt idx="245">
                  <c:v>13287</c:v>
                </c:pt>
                <c:pt idx="246">
                  <c:v>13287</c:v>
                </c:pt>
                <c:pt idx="247">
                  <c:v>13589</c:v>
                </c:pt>
                <c:pt idx="248">
                  <c:v>13594</c:v>
                </c:pt>
                <c:pt idx="249">
                  <c:v>13611</c:v>
                </c:pt>
                <c:pt idx="250">
                  <c:v>13611</c:v>
                </c:pt>
                <c:pt idx="251">
                  <c:v>13631</c:v>
                </c:pt>
                <c:pt idx="252">
                  <c:v>13632</c:v>
                </c:pt>
                <c:pt idx="253">
                  <c:v>13787</c:v>
                </c:pt>
                <c:pt idx="254">
                  <c:v>14040.5</c:v>
                </c:pt>
                <c:pt idx="255">
                  <c:v>14073</c:v>
                </c:pt>
                <c:pt idx="256">
                  <c:v>14077</c:v>
                </c:pt>
                <c:pt idx="257">
                  <c:v>14522</c:v>
                </c:pt>
                <c:pt idx="258">
                  <c:v>14523</c:v>
                </c:pt>
                <c:pt idx="259">
                  <c:v>14589</c:v>
                </c:pt>
                <c:pt idx="260">
                  <c:v>14609</c:v>
                </c:pt>
                <c:pt idx="261">
                  <c:v>15001</c:v>
                </c:pt>
                <c:pt idx="262">
                  <c:v>15002</c:v>
                </c:pt>
                <c:pt idx="263">
                  <c:v>15336</c:v>
                </c:pt>
                <c:pt idx="264">
                  <c:v>15805</c:v>
                </c:pt>
                <c:pt idx="265">
                  <c:v>16147</c:v>
                </c:pt>
                <c:pt idx="266">
                  <c:v>16311</c:v>
                </c:pt>
                <c:pt idx="267">
                  <c:v>16643</c:v>
                </c:pt>
                <c:pt idx="268">
                  <c:v>17100</c:v>
                </c:pt>
              </c:numCache>
            </c:numRef>
          </c:xVal>
          <c:yVal>
            <c:numRef>
              <c:f>Active!$U$21:$U$2840</c:f>
              <c:numCache>
                <c:formatCode>General</c:formatCode>
                <c:ptCount val="2820"/>
                <c:pt idx="169">
                  <c:v>3.5215299998526461E-2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9C-4115-8F5C-7ACF95C4B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7641920"/>
        <c:axId val="1"/>
      </c:scatterChart>
      <c:valAx>
        <c:axId val="817641920"/>
        <c:scaling>
          <c:orientation val="minMax"/>
          <c:min val="-24000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439024390244"/>
              <c:y val="0.860249751389771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6451005483758162E-2"/>
              <c:y val="0.40476255685430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76419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9939024390243899E-2"/>
          <c:y val="0.91304478244567244"/>
          <c:w val="0.84603658536585369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485775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4B5FC81-42BE-75FE-31C8-5BEBA734A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0</xdr:row>
      <xdr:rowOff>47625</xdr:rowOff>
    </xdr:from>
    <xdr:to>
      <xdr:col>26</xdr:col>
      <xdr:colOff>638175</xdr:colOff>
      <xdr:row>18</xdr:row>
      <xdr:rowOff>104775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2E64968E-DE6C-9107-936C-55C745011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592" TargetMode="External"/><Relationship Id="rId18" Type="http://schemas.openxmlformats.org/officeDocument/2006/relationships/hyperlink" Target="http://www.bav-astro.de/sfs/BAVM_link.php?BAVMnr=178" TargetMode="External"/><Relationship Id="rId26" Type="http://schemas.openxmlformats.org/officeDocument/2006/relationships/hyperlink" Target="http://www.konkoly.hu/cgi-bin/IBVS?5933" TargetMode="External"/><Relationship Id="rId39" Type="http://schemas.openxmlformats.org/officeDocument/2006/relationships/hyperlink" Target="http://www.bav-astro.de/sfs/BAVM_link.php?BAVMnr=232" TargetMode="External"/><Relationship Id="rId21" Type="http://schemas.openxmlformats.org/officeDocument/2006/relationships/hyperlink" Target="http://www.konkoly.hu/cgi-bin/IBVS?5820" TargetMode="External"/><Relationship Id="rId34" Type="http://schemas.openxmlformats.org/officeDocument/2006/relationships/hyperlink" Target="http://www.konkoly.hu/cgi-bin/IBVS?5933" TargetMode="External"/><Relationship Id="rId42" Type="http://schemas.openxmlformats.org/officeDocument/2006/relationships/hyperlink" Target="http://vsolj.cetus-net.org/no40.pdf" TargetMode="External"/><Relationship Id="rId47" Type="http://schemas.openxmlformats.org/officeDocument/2006/relationships/hyperlink" Target="http://vsolj.cetus-net.org/no44.pdf" TargetMode="External"/><Relationship Id="rId50" Type="http://schemas.openxmlformats.org/officeDocument/2006/relationships/hyperlink" Target="http://var.astro.cz/oejv/issues/oejv0107.pdf" TargetMode="External"/><Relationship Id="rId55" Type="http://schemas.openxmlformats.org/officeDocument/2006/relationships/hyperlink" Target="http://www.bav-astro.de/sfs/BAVM_link.php?BAVMnr=225" TargetMode="External"/><Relationship Id="rId7" Type="http://schemas.openxmlformats.org/officeDocument/2006/relationships/hyperlink" Target="http://www.bav-astro.de/sfs/BAVM_link.php?BAVMnr=113" TargetMode="External"/><Relationship Id="rId12" Type="http://schemas.openxmlformats.org/officeDocument/2006/relationships/hyperlink" Target="http://www.bav-astro.de/sfs/BAVM_link.php?BAVMnr=172" TargetMode="External"/><Relationship Id="rId17" Type="http://schemas.openxmlformats.org/officeDocument/2006/relationships/hyperlink" Target="http://www.bav-astro.de/sfs/BAVM_link.php?BAVMnr=178" TargetMode="External"/><Relationship Id="rId25" Type="http://schemas.openxmlformats.org/officeDocument/2006/relationships/hyperlink" Target="http://www.aavso.org/sites/default/files/jaavso/v37n1/44.pdf" TargetMode="External"/><Relationship Id="rId33" Type="http://schemas.openxmlformats.org/officeDocument/2006/relationships/hyperlink" Target="http://www.bav-astro.de/sfs/BAVM_link.php?BAVMnr=209" TargetMode="External"/><Relationship Id="rId38" Type="http://schemas.openxmlformats.org/officeDocument/2006/relationships/hyperlink" Target="http://www.konkoly.hu/cgi-bin/IBVS?6011" TargetMode="External"/><Relationship Id="rId46" Type="http://schemas.openxmlformats.org/officeDocument/2006/relationships/hyperlink" Target="http://www.konkoly.hu/cgi-bin/IBVS?5741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173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konkoly.hu/cgi-bin/IBVS?5933" TargetMode="External"/><Relationship Id="rId41" Type="http://schemas.openxmlformats.org/officeDocument/2006/relationships/hyperlink" Target="http://www.bav-astro.de/sfs/BAVM_link.php?BAVMnr=56" TargetMode="External"/><Relationship Id="rId54" Type="http://schemas.openxmlformats.org/officeDocument/2006/relationships/hyperlink" Target="http://www.konkoly.hu/cgi-bin/IBVS?5933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konkoly.hu/cgi-bin/IBVS?4097" TargetMode="External"/><Relationship Id="rId11" Type="http://schemas.openxmlformats.org/officeDocument/2006/relationships/hyperlink" Target="http://www.bav-astro.de/sfs/BAVM_link.php?BAVMnr=172" TargetMode="External"/><Relationship Id="rId24" Type="http://schemas.openxmlformats.org/officeDocument/2006/relationships/hyperlink" Target="http://www.konkoly.hu/cgi-bin/IBVS?5933" TargetMode="External"/><Relationship Id="rId32" Type="http://schemas.openxmlformats.org/officeDocument/2006/relationships/hyperlink" Target="http://www.bav-astro.de/sfs/BAVM_link.php?BAVMnr=209" TargetMode="External"/><Relationship Id="rId37" Type="http://schemas.openxmlformats.org/officeDocument/2006/relationships/hyperlink" Target="http://www.bav-astro.de/sfs/BAVM_link.php?BAVMnr=231" TargetMode="External"/><Relationship Id="rId40" Type="http://schemas.openxmlformats.org/officeDocument/2006/relationships/hyperlink" Target="http://www.konkoly.hu/cgi-bin/IBVS?6042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konkoly.hu/cgi-bin/IBVS?4097" TargetMode="External"/><Relationship Id="rId15" Type="http://schemas.openxmlformats.org/officeDocument/2006/relationships/hyperlink" Target="http://www.konkoly.hu/cgi-bin/IBVS?5616" TargetMode="External"/><Relationship Id="rId23" Type="http://schemas.openxmlformats.org/officeDocument/2006/relationships/hyperlink" Target="http://www.aavso.org/sites/default/files/jaavso/v36n2/186.pdf" TargetMode="External"/><Relationship Id="rId28" Type="http://schemas.openxmlformats.org/officeDocument/2006/relationships/hyperlink" Target="http://www.konkoly.hu/cgi-bin/IBVS?5897" TargetMode="External"/><Relationship Id="rId36" Type="http://schemas.openxmlformats.org/officeDocument/2006/relationships/hyperlink" Target="http://www.konkoly.hu/cgi-bin/IBVS?5920" TargetMode="External"/><Relationship Id="rId49" Type="http://schemas.openxmlformats.org/officeDocument/2006/relationships/hyperlink" Target="http://vsolj.cetus-net.org/no44.pdf" TargetMode="External"/><Relationship Id="rId57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konkoly.hu/cgi-bin/IBVS?5677" TargetMode="External"/><Relationship Id="rId31" Type="http://schemas.openxmlformats.org/officeDocument/2006/relationships/hyperlink" Target="http://www.bav-astro.de/sfs/BAVM_link.php?BAVMnr=209" TargetMode="External"/><Relationship Id="rId44" Type="http://schemas.openxmlformats.org/officeDocument/2006/relationships/hyperlink" Target="http://var.astro.cz/oejv/issues/oejv0074.pdf" TargetMode="External"/><Relationship Id="rId52" Type="http://schemas.openxmlformats.org/officeDocument/2006/relationships/hyperlink" Target="http://www.konkoly.hu/cgi-bin/IBVS?5933" TargetMode="External"/><Relationship Id="rId4" Type="http://schemas.openxmlformats.org/officeDocument/2006/relationships/hyperlink" Target="http://www.konkoly.hu/cgi-bin/IBVS?4097" TargetMode="External"/><Relationship Id="rId9" Type="http://schemas.openxmlformats.org/officeDocument/2006/relationships/hyperlink" Target="http://www.bav-astro.de/sfs/BAVM_link.php?BAVMnr=152" TargetMode="External"/><Relationship Id="rId14" Type="http://schemas.openxmlformats.org/officeDocument/2006/relationships/hyperlink" Target="http://www.bav-astro.de/sfs/BAVM_link.php?BAVMnr=173" TargetMode="External"/><Relationship Id="rId22" Type="http://schemas.openxmlformats.org/officeDocument/2006/relationships/hyperlink" Target="http://www.konkoly.hu/cgi-bin/IBVS?5897" TargetMode="External"/><Relationship Id="rId27" Type="http://schemas.openxmlformats.org/officeDocument/2006/relationships/hyperlink" Target="http://www.konkoly.hu/cgi-bin/IBVS?5933" TargetMode="External"/><Relationship Id="rId30" Type="http://schemas.openxmlformats.org/officeDocument/2006/relationships/hyperlink" Target="http://www.konkoly.hu/cgi-bin/IBVS?5933" TargetMode="External"/><Relationship Id="rId35" Type="http://schemas.openxmlformats.org/officeDocument/2006/relationships/hyperlink" Target="http://www.konkoly.hu/cgi-bin/IBVS?5933" TargetMode="External"/><Relationship Id="rId43" Type="http://schemas.openxmlformats.org/officeDocument/2006/relationships/hyperlink" Target="http://var.astro.cz/oejv/issues/oejv0074.pdf" TargetMode="External"/><Relationship Id="rId48" Type="http://schemas.openxmlformats.org/officeDocument/2006/relationships/hyperlink" Target="http://vsolj.cetus-net.org/no44.pdf" TargetMode="External"/><Relationship Id="rId56" Type="http://schemas.openxmlformats.org/officeDocument/2006/relationships/hyperlink" Target="http://vsolj.cetus-net.org/vsoljno53.pdf" TargetMode="External"/><Relationship Id="rId8" Type="http://schemas.openxmlformats.org/officeDocument/2006/relationships/hyperlink" Target="http://www.bav-astro.de/sfs/BAVM_link.php?BAVMnr=152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bav-astro.de/sfs/BAVM_link.php?BAVMnr=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3"/>
  <sheetViews>
    <sheetView tabSelected="1" workbookViewId="0">
      <pane xSplit="14" ySplit="22" topLeftCell="O277" activePane="bottomRight" state="frozen"/>
      <selection pane="topRight" activeCell="O1" sqref="O1"/>
      <selection pane="bottomLeft" activeCell="A23" sqref="A23"/>
      <selection pane="bottomRight" activeCell="F16" sqref="F16"/>
    </sheetView>
  </sheetViews>
  <sheetFormatPr defaultColWidth="10.28515625" defaultRowHeight="12.75" x14ac:dyDescent="0.2"/>
  <cols>
    <col min="1" max="1" width="15.5703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140625" style="1" customWidth="1"/>
    <col min="6" max="6" width="16.28515625" style="1" customWidth="1"/>
    <col min="7" max="7" width="8.140625" style="1" customWidth="1"/>
    <col min="8" max="14" width="8.5703125" style="1" customWidth="1"/>
    <col min="15" max="15" width="8" style="1" customWidth="1"/>
    <col min="16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1018</v>
      </c>
      <c r="D2" s="1" t="s">
        <v>2</v>
      </c>
      <c r="E2" s="125" t="s">
        <v>1016</v>
      </c>
      <c r="F2" s="126" t="s">
        <v>1015</v>
      </c>
    </row>
    <row r="3" spans="1:6" x14ac:dyDescent="0.2">
      <c r="B3" s="1" t="s">
        <v>3</v>
      </c>
      <c r="E3" s="123" t="s">
        <v>19</v>
      </c>
      <c r="F3" s="127">
        <v>1</v>
      </c>
    </row>
    <row r="4" spans="1:6" x14ac:dyDescent="0.2">
      <c r="A4" s="3" t="s">
        <v>4</v>
      </c>
      <c r="C4" s="4">
        <v>45611.436000000002</v>
      </c>
      <c r="D4" s="122">
        <v>0.85702509999999998</v>
      </c>
      <c r="E4" s="123" t="s">
        <v>21</v>
      </c>
      <c r="F4" s="128">
        <f ca="1">NOW()+15018.5+$C$5/24</f>
        <v>60581.793776157407</v>
      </c>
    </row>
    <row r="5" spans="1:6" x14ac:dyDescent="0.2">
      <c r="A5" s="5" t="s">
        <v>5</v>
      </c>
      <c r="B5"/>
      <c r="C5" s="6">
        <v>-9.5</v>
      </c>
      <c r="D5" t="s">
        <v>6</v>
      </c>
      <c r="E5" s="123" t="s">
        <v>23</v>
      </c>
      <c r="F5" s="128">
        <f ca="1">ROUND(2*($F$4-$C$7)/$C$8,0)/2+$F$3</f>
        <v>17469</v>
      </c>
    </row>
    <row r="6" spans="1:6" x14ac:dyDescent="0.2">
      <c r="A6" s="3" t="s">
        <v>7</v>
      </c>
      <c r="E6" s="123" t="s">
        <v>25</v>
      </c>
      <c r="F6" s="128">
        <f ca="1">ROUND(2*($F$4-$C$15)/$C$16,0)/2+$F$3</f>
        <v>369</v>
      </c>
    </row>
    <row r="7" spans="1:6" x14ac:dyDescent="0.2">
      <c r="A7" s="1" t="s">
        <v>8</v>
      </c>
      <c r="C7" s="1">
        <f>+C4</f>
        <v>45611.436000000002</v>
      </c>
      <c r="D7" s="1" t="s">
        <v>1017</v>
      </c>
      <c r="E7" s="123" t="s">
        <v>1013</v>
      </c>
      <c r="F7" s="129">
        <f ca="1">+$C$15+$C$16*$F$6-15018.5-$C$5/24</f>
        <v>45564.705285636708</v>
      </c>
    </row>
    <row r="8" spans="1:6" x14ac:dyDescent="0.2">
      <c r="A8" s="1" t="s">
        <v>9</v>
      </c>
      <c r="C8" s="1">
        <f>+D4</f>
        <v>0.85702509999999998</v>
      </c>
      <c r="D8" s="1" t="s">
        <v>1017</v>
      </c>
      <c r="E8" s="124" t="s">
        <v>1014</v>
      </c>
      <c r="F8" s="130">
        <f ca="1">+($C$15+$C$16*$F$6)-($C$16/2)-15018.5-$C$5/24</f>
        <v>45564.276773789185</v>
      </c>
    </row>
    <row r="9" spans="1:6" x14ac:dyDescent="0.2">
      <c r="A9" s="7" t="s">
        <v>10</v>
      </c>
      <c r="B9" s="8">
        <v>227</v>
      </c>
      <c r="C9" s="7" t="str">
        <f>"F"&amp;B9</f>
        <v>F227</v>
      </c>
      <c r="D9" s="7" t="str">
        <f>"G"&amp;B9</f>
        <v>G227</v>
      </c>
    </row>
    <row r="10" spans="1:6" x14ac:dyDescent="0.2">
      <c r="C10" s="9" t="s">
        <v>11</v>
      </c>
      <c r="D10" s="9" t="s">
        <v>12</v>
      </c>
    </row>
    <row r="11" spans="1:6" x14ac:dyDescent="0.2">
      <c r="A11" s="1" t="s">
        <v>13</v>
      </c>
      <c r="C11" s="10">
        <f ca="1">INTERCEPT(INDIRECT(D9):G1001,INDIRECT(C9):$F1001)</f>
        <v>2.652343905608677E-2</v>
      </c>
      <c r="D11" s="11">
        <f>+E11*F11</f>
        <v>1.030552988397575E-7</v>
      </c>
      <c r="E11" s="12">
        <v>1.030552988397575</v>
      </c>
      <c r="F11" s="13">
        <v>9.9999999999999995E-8</v>
      </c>
    </row>
    <row r="12" spans="1:6" x14ac:dyDescent="0.2">
      <c r="A12" s="1" t="s">
        <v>14</v>
      </c>
      <c r="C12" s="10">
        <f ca="1">SLOPE(INDIRECT(D9):G1001,INDIRECT(C9):$F1001)</f>
        <v>-1.404947947005647E-6</v>
      </c>
      <c r="D12" s="11">
        <f>+E12*F12</f>
        <v>4.0703873876854624E-6</v>
      </c>
      <c r="E12" s="14">
        <v>40.703873876854622</v>
      </c>
      <c r="F12" s="13">
        <v>9.9999999999999995E-8</v>
      </c>
    </row>
    <row r="13" spans="1:6" x14ac:dyDescent="0.2">
      <c r="A13" s="1" t="s">
        <v>15</v>
      </c>
      <c r="C13" s="15" t="s">
        <v>16</v>
      </c>
      <c r="D13" s="11">
        <f>+E13*F13</f>
        <v>-3.2439351978746811E-10</v>
      </c>
      <c r="E13" s="16">
        <v>-3.2439351978746811</v>
      </c>
      <c r="F13" s="13">
        <v>1E-10</v>
      </c>
    </row>
    <row r="14" spans="1:6" x14ac:dyDescent="0.2">
      <c r="A14" s="1" t="s">
        <v>17</v>
      </c>
      <c r="E14" s="1">
        <f>SUM(R38:R988)</f>
        <v>0.11695263628911561</v>
      </c>
    </row>
    <row r="15" spans="1:6" x14ac:dyDescent="0.2">
      <c r="A15" s="3" t="s">
        <v>18</v>
      </c>
      <c r="C15" s="17">
        <f ca="1">(C7+C11)+(C8+C12)*INT(MAX(F21:F3522))</f>
        <v>60266.567708829163</v>
      </c>
      <c r="D15" s="18">
        <f>+C7+INT(MAX(F21:F1577))*C8+D11+D12*INT(MAX(F21:F4012))+D13*INT(MAX(F21:F4039)^2)</f>
        <v>60266.53995781827</v>
      </c>
      <c r="E15" s="19"/>
      <c r="F15" s="6"/>
    </row>
    <row r="16" spans="1:6" x14ac:dyDescent="0.2">
      <c r="A16" s="3" t="s">
        <v>20</v>
      </c>
      <c r="C16" s="17">
        <f ca="1">+C8+C12</f>
        <v>0.857023695052053</v>
      </c>
      <c r="D16" s="20">
        <f>+C8+D12+2*D13*MAX(F21:F120)</f>
        <v>0.85702804928338328</v>
      </c>
      <c r="E16" s="19"/>
      <c r="F16" s="21"/>
    </row>
    <row r="17" spans="1:21" x14ac:dyDescent="0.2">
      <c r="A17" s="10" t="s">
        <v>22</v>
      </c>
      <c r="C17" s="1">
        <f>COUNT(C21:C2180)</f>
        <v>269</v>
      </c>
      <c r="E17" s="19"/>
      <c r="F17" s="21"/>
    </row>
    <row r="18" spans="1:21" x14ac:dyDescent="0.2">
      <c r="A18" s="3" t="s">
        <v>24</v>
      </c>
      <c r="C18" s="22">
        <f ca="1">+C15</f>
        <v>60266.567708829163</v>
      </c>
      <c r="D18" s="23">
        <f ca="1">C16</f>
        <v>0.857023695052053</v>
      </c>
      <c r="E18" s="19"/>
      <c r="F18" s="18"/>
    </row>
    <row r="19" spans="1:21" x14ac:dyDescent="0.2">
      <c r="A19" s="3" t="s">
        <v>26</v>
      </c>
      <c r="C19" s="24">
        <f>+D15</f>
        <v>60266.53995781827</v>
      </c>
      <c r="D19" s="25">
        <f>+D16</f>
        <v>0.85702804928338328</v>
      </c>
      <c r="E19" s="19"/>
      <c r="F19" s="26"/>
    </row>
    <row r="20" spans="1:21" ht="14.25" x14ac:dyDescent="0.2">
      <c r="A20" s="9" t="s">
        <v>27</v>
      </c>
      <c r="B20" s="9" t="s">
        <v>28</v>
      </c>
      <c r="C20" s="9" t="s">
        <v>29</v>
      </c>
      <c r="D20" s="9" t="s">
        <v>30</v>
      </c>
      <c r="E20" s="9" t="s">
        <v>31</v>
      </c>
      <c r="F20" s="9" t="s">
        <v>32</v>
      </c>
      <c r="G20" s="9" t="s">
        <v>33</v>
      </c>
      <c r="H20" s="27" t="s">
        <v>34</v>
      </c>
      <c r="I20" s="27" t="s">
        <v>35</v>
      </c>
      <c r="J20" s="27" t="s">
        <v>36</v>
      </c>
      <c r="K20" s="27" t="s">
        <v>37</v>
      </c>
      <c r="L20" s="27" t="s">
        <v>1011</v>
      </c>
      <c r="M20" s="27" t="s">
        <v>38</v>
      </c>
      <c r="N20" s="27" t="s">
        <v>39</v>
      </c>
      <c r="O20" s="27" t="s">
        <v>40</v>
      </c>
      <c r="P20" s="27" t="s">
        <v>41</v>
      </c>
      <c r="Q20" s="9" t="s">
        <v>42</v>
      </c>
      <c r="R20" s="27" t="s">
        <v>43</v>
      </c>
      <c r="U20" s="28" t="s">
        <v>44</v>
      </c>
    </row>
    <row r="21" spans="1:21" x14ac:dyDescent="0.2">
      <c r="A21" s="29" t="s">
        <v>45</v>
      </c>
      <c r="B21" s="29"/>
      <c r="C21" s="30">
        <v>26672.462</v>
      </c>
      <c r="D21" s="31"/>
      <c r="E21" s="1">
        <f t="shared" ref="E21:E84" si="0">+(C21-C$7)/C$8</f>
        <v>-22098.505633032222</v>
      </c>
      <c r="F21" s="1">
        <f t="shared" ref="F21:F84" si="1">ROUND(2*E21,0)/2</f>
        <v>-22098.5</v>
      </c>
      <c r="G21" s="1">
        <f t="shared" ref="G21:G52" si="2">+C21-(C$7+F21*C$8)</f>
        <v>-4.8276500019710511E-3</v>
      </c>
      <c r="H21" s="1">
        <f t="shared" ref="H21:H33" si="3">+C21-(C$7+F21*C$8)</f>
        <v>-4.8276500019710511E-3</v>
      </c>
      <c r="P21" s="13">
        <f t="shared" ref="P21:P84" si="4">+D$11+D$12*F21+D$13*F21^2</f>
        <v>-0.24836488507038917</v>
      </c>
      <c r="Q21" s="114">
        <f t="shared" ref="Q21:Q84" si="5">+C21-15018.5</f>
        <v>11653.962</v>
      </c>
    </row>
    <row r="22" spans="1:21" x14ac:dyDescent="0.2">
      <c r="A22" s="29" t="s">
        <v>45</v>
      </c>
      <c r="B22" s="29"/>
      <c r="C22" s="30">
        <v>26987.413</v>
      </c>
      <c r="D22" s="31"/>
      <c r="E22" s="1">
        <f t="shared" si="0"/>
        <v>-21731.012312241499</v>
      </c>
      <c r="F22" s="1">
        <f t="shared" si="1"/>
        <v>-21731</v>
      </c>
      <c r="G22" s="1">
        <f t="shared" si="2"/>
        <v>-1.0551900002610637E-2</v>
      </c>
      <c r="H22" s="1">
        <f t="shared" si="3"/>
        <v>-1.0551900002610637E-2</v>
      </c>
      <c r="P22" s="13">
        <f t="shared" si="4"/>
        <v>-0.24164390058290941</v>
      </c>
      <c r="Q22" s="114">
        <f t="shared" si="5"/>
        <v>11968.913</v>
      </c>
    </row>
    <row r="23" spans="1:21" x14ac:dyDescent="0.2">
      <c r="A23" s="29" t="s">
        <v>46</v>
      </c>
      <c r="B23" s="29"/>
      <c r="C23" s="30">
        <v>28078.433000000001</v>
      </c>
      <c r="D23" s="31"/>
      <c r="E23" s="1">
        <f t="shared" si="0"/>
        <v>-20457.98075225568</v>
      </c>
      <c r="F23" s="1">
        <f t="shared" si="1"/>
        <v>-20458</v>
      </c>
      <c r="G23" s="1">
        <f t="shared" si="2"/>
        <v>1.6495799998665461E-2</v>
      </c>
      <c r="H23" s="1">
        <f t="shared" si="3"/>
        <v>1.6495799998665461E-2</v>
      </c>
      <c r="P23" s="13">
        <f t="shared" si="4"/>
        <v>-0.21904022540174872</v>
      </c>
      <c r="Q23" s="114">
        <f t="shared" si="5"/>
        <v>13059.933000000001</v>
      </c>
    </row>
    <row r="24" spans="1:21" x14ac:dyDescent="0.2">
      <c r="A24" s="29" t="s">
        <v>45</v>
      </c>
      <c r="B24" s="29"/>
      <c r="C24" s="30">
        <v>28211.26</v>
      </c>
      <c r="D24" s="31"/>
      <c r="E24" s="1">
        <f t="shared" si="0"/>
        <v>-20302.994626411764</v>
      </c>
      <c r="F24" s="1">
        <f t="shared" si="1"/>
        <v>-20303</v>
      </c>
      <c r="G24" s="1">
        <f t="shared" si="2"/>
        <v>4.6052999969106168E-3</v>
      </c>
      <c r="H24" s="1">
        <f t="shared" si="3"/>
        <v>4.6052999969106168E-3</v>
      </c>
      <c r="P24" s="13">
        <f t="shared" si="4"/>
        <v>-0.21635981169634866</v>
      </c>
      <c r="Q24" s="114">
        <f t="shared" si="5"/>
        <v>13192.759999999998</v>
      </c>
    </row>
    <row r="25" spans="1:21" x14ac:dyDescent="0.2">
      <c r="A25" s="29" t="s">
        <v>45</v>
      </c>
      <c r="B25" s="29"/>
      <c r="C25" s="30">
        <v>29163.428</v>
      </c>
      <c r="D25" s="31"/>
      <c r="E25" s="1">
        <f t="shared" si="0"/>
        <v>-19191.97932475957</v>
      </c>
      <c r="F25" s="1">
        <f t="shared" si="1"/>
        <v>-19192</v>
      </c>
      <c r="G25" s="1">
        <f t="shared" si="2"/>
        <v>1.7719199997372925E-2</v>
      </c>
      <c r="H25" s="1">
        <f t="shared" si="3"/>
        <v>1.7719199997372925E-2</v>
      </c>
      <c r="P25" s="13">
        <f t="shared" si="4"/>
        <v>-0.19760356589551936</v>
      </c>
      <c r="Q25" s="114">
        <f t="shared" si="5"/>
        <v>14144.928</v>
      </c>
    </row>
    <row r="26" spans="1:21" x14ac:dyDescent="0.2">
      <c r="A26" s="29" t="s">
        <v>45</v>
      </c>
      <c r="B26" s="29"/>
      <c r="C26" s="30">
        <v>29193.364000000001</v>
      </c>
      <c r="D26" s="31"/>
      <c r="E26" s="1">
        <f t="shared" si="0"/>
        <v>-19157.049192608243</v>
      </c>
      <c r="F26" s="1">
        <f t="shared" si="1"/>
        <v>-19157</v>
      </c>
      <c r="G26" s="1">
        <f t="shared" si="2"/>
        <v>-4.2159299999184441E-2</v>
      </c>
      <c r="H26" s="1">
        <f t="shared" si="3"/>
        <v>-4.2159299999184441E-2</v>
      </c>
      <c r="P26" s="13">
        <f t="shared" si="4"/>
        <v>-0.19702569648878884</v>
      </c>
      <c r="Q26" s="114">
        <f t="shared" si="5"/>
        <v>14174.864000000001</v>
      </c>
    </row>
    <row r="27" spans="1:21" x14ac:dyDescent="0.2">
      <c r="A27" s="29" t="s">
        <v>47</v>
      </c>
      <c r="B27" s="29"/>
      <c r="C27" s="30">
        <v>33898.493000000002</v>
      </c>
      <c r="D27" s="31"/>
      <c r="E27" s="1">
        <f t="shared" si="0"/>
        <v>-13666.9777816309</v>
      </c>
      <c r="F27" s="1">
        <f t="shared" si="1"/>
        <v>-13667</v>
      </c>
      <c r="G27" s="1">
        <f t="shared" si="2"/>
        <v>1.9041699997615069E-2</v>
      </c>
      <c r="H27" s="1">
        <f t="shared" si="3"/>
        <v>1.9041699997615069E-2</v>
      </c>
      <c r="P27" s="13">
        <f t="shared" si="4"/>
        <v>-0.11622233774505948</v>
      </c>
      <c r="Q27" s="114">
        <f t="shared" si="5"/>
        <v>18879.993000000002</v>
      </c>
    </row>
    <row r="28" spans="1:21" x14ac:dyDescent="0.2">
      <c r="A28" s="29" t="s">
        <v>47</v>
      </c>
      <c r="B28" s="29"/>
      <c r="C28" s="30">
        <v>33922.410000000003</v>
      </c>
      <c r="D28" s="31"/>
      <c r="E28" s="1">
        <f t="shared" si="0"/>
        <v>-13639.070781007462</v>
      </c>
      <c r="F28" s="1">
        <f t="shared" si="1"/>
        <v>-13639</v>
      </c>
      <c r="G28" s="1">
        <f t="shared" si="2"/>
        <v>-6.0661099996650591E-2</v>
      </c>
      <c r="H28" s="1">
        <f t="shared" si="3"/>
        <v>-6.0661099996650591E-2</v>
      </c>
      <c r="P28" s="13">
        <f t="shared" si="4"/>
        <v>-0.11586034599356743</v>
      </c>
      <c r="Q28" s="114">
        <f t="shared" si="5"/>
        <v>18903.910000000003</v>
      </c>
    </row>
    <row r="29" spans="1:21" x14ac:dyDescent="0.2">
      <c r="A29" s="29" t="s">
        <v>47</v>
      </c>
      <c r="B29" s="29"/>
      <c r="C29" s="30">
        <v>33946.46</v>
      </c>
      <c r="D29" s="31"/>
      <c r="E29" s="1">
        <f t="shared" si="0"/>
        <v>-13611.008592397122</v>
      </c>
      <c r="F29" s="1">
        <f t="shared" si="1"/>
        <v>-13611</v>
      </c>
      <c r="G29" s="1">
        <f t="shared" si="2"/>
        <v>-7.3639000038383529E-3</v>
      </c>
      <c r="H29" s="1">
        <f t="shared" si="3"/>
        <v>-7.3639000038383529E-3</v>
      </c>
      <c r="P29" s="13">
        <f t="shared" si="4"/>
        <v>-0.11549886289111438</v>
      </c>
      <c r="Q29" s="114">
        <f t="shared" si="5"/>
        <v>18927.96</v>
      </c>
    </row>
    <row r="30" spans="1:21" x14ac:dyDescent="0.2">
      <c r="A30" s="29" t="s">
        <v>47</v>
      </c>
      <c r="B30" s="29"/>
      <c r="C30" s="30">
        <v>34683.47</v>
      </c>
      <c r="D30" s="31"/>
      <c r="E30" s="1">
        <f t="shared" si="0"/>
        <v>-12751.045447793769</v>
      </c>
      <c r="F30" s="1">
        <f t="shared" si="1"/>
        <v>-12751</v>
      </c>
      <c r="G30" s="1">
        <f t="shared" si="2"/>
        <v>-3.8949900001171045E-2</v>
      </c>
      <c r="H30" s="1">
        <f t="shared" si="3"/>
        <v>-3.8949900001171045E-2</v>
      </c>
      <c r="P30" s="13">
        <f t="shared" si="4"/>
        <v>-0.10464390044467686</v>
      </c>
      <c r="Q30" s="114">
        <f t="shared" si="5"/>
        <v>19664.97</v>
      </c>
    </row>
    <row r="31" spans="1:21" x14ac:dyDescent="0.2">
      <c r="A31" s="29" t="s">
        <v>47</v>
      </c>
      <c r="B31" s="29"/>
      <c r="C31" s="30">
        <v>35372.555999999997</v>
      </c>
      <c r="D31" s="31"/>
      <c r="E31" s="1">
        <f t="shared" si="0"/>
        <v>-11947.00131886453</v>
      </c>
      <c r="F31" s="1">
        <f t="shared" si="1"/>
        <v>-11947</v>
      </c>
      <c r="G31" s="1">
        <f t="shared" si="2"/>
        <v>-1.1303000064799562E-3</v>
      </c>
      <c r="H31" s="1">
        <f t="shared" si="3"/>
        <v>-1.1303000064799562E-3</v>
      </c>
      <c r="P31" s="13">
        <f t="shared" si="4"/>
        <v>-9.4929764579002207E-2</v>
      </c>
      <c r="Q31" s="114">
        <f t="shared" si="5"/>
        <v>20354.055999999997</v>
      </c>
    </row>
    <row r="32" spans="1:21" x14ac:dyDescent="0.2">
      <c r="A32" s="29" t="s">
        <v>48</v>
      </c>
      <c r="B32" s="29"/>
      <c r="C32" s="30">
        <v>35702.516000000003</v>
      </c>
      <c r="D32" s="31"/>
      <c r="E32" s="1">
        <f t="shared" si="0"/>
        <v>-11561.9950920924</v>
      </c>
      <c r="F32" s="1">
        <f t="shared" si="1"/>
        <v>-11562</v>
      </c>
      <c r="G32" s="1">
        <f t="shared" si="2"/>
        <v>4.2061999993165955E-3</v>
      </c>
      <c r="H32" s="1">
        <f t="shared" si="3"/>
        <v>4.2061999993165955E-3</v>
      </c>
      <c r="P32" s="13">
        <f t="shared" si="4"/>
        <v>-9.0426591040920129E-2</v>
      </c>
      <c r="Q32" s="114">
        <f t="shared" si="5"/>
        <v>20684.016000000003</v>
      </c>
    </row>
    <row r="33" spans="1:18" x14ac:dyDescent="0.2">
      <c r="A33" s="29" t="s">
        <v>48</v>
      </c>
      <c r="B33" s="29"/>
      <c r="C33" s="30">
        <v>35703.353000000003</v>
      </c>
      <c r="D33" s="31"/>
      <c r="E33" s="1">
        <f t="shared" si="0"/>
        <v>-11561.018457919143</v>
      </c>
      <c r="F33" s="1">
        <f t="shared" si="1"/>
        <v>-11561</v>
      </c>
      <c r="G33" s="1">
        <f t="shared" si="2"/>
        <v>-1.5818899999430869E-2</v>
      </c>
      <c r="H33" s="1">
        <f t="shared" si="3"/>
        <v>-1.5818899999430869E-2</v>
      </c>
      <c r="P33" s="13">
        <f t="shared" si="4"/>
        <v>-9.0415019702174387E-2</v>
      </c>
      <c r="Q33" s="114">
        <f t="shared" si="5"/>
        <v>20684.853000000003</v>
      </c>
    </row>
    <row r="34" spans="1:18" x14ac:dyDescent="0.2">
      <c r="A34" s="29" t="s">
        <v>49</v>
      </c>
      <c r="B34" s="29"/>
      <c r="C34" s="30">
        <v>40839.457999999999</v>
      </c>
      <c r="D34" s="32"/>
      <c r="E34" s="1">
        <f t="shared" si="0"/>
        <v>-5568.0726270444156</v>
      </c>
      <c r="F34" s="1">
        <f t="shared" si="1"/>
        <v>-5568</v>
      </c>
      <c r="G34" s="1">
        <f t="shared" si="2"/>
        <v>-6.2243200001830701E-2</v>
      </c>
      <c r="I34" s="1">
        <f>G34</f>
        <v>-6.2243200001830701E-2</v>
      </c>
      <c r="P34" s="13">
        <f t="shared" si="4"/>
        <v>-3.2720864241341248E-2</v>
      </c>
      <c r="Q34" s="114">
        <f t="shared" si="5"/>
        <v>25820.957999999999</v>
      </c>
      <c r="R34" s="1">
        <f t="shared" ref="R34:R65" si="6">+(P34-G34)^2</f>
        <v>8.7156830875507432E-4</v>
      </c>
    </row>
    <row r="35" spans="1:18" x14ac:dyDescent="0.2">
      <c r="A35" s="29" t="s">
        <v>50</v>
      </c>
      <c r="B35" s="29"/>
      <c r="C35" s="30">
        <v>40839.457999999999</v>
      </c>
      <c r="D35" s="31"/>
      <c r="E35" s="1">
        <f t="shared" si="0"/>
        <v>-5568.0726270444156</v>
      </c>
      <c r="F35" s="1">
        <f t="shared" si="1"/>
        <v>-5568</v>
      </c>
      <c r="G35" s="1">
        <f t="shared" si="2"/>
        <v>-6.2243200001830701E-2</v>
      </c>
      <c r="H35" s="1">
        <f>+C35-(C$7+F35*C$8)</f>
        <v>-6.2243200001830701E-2</v>
      </c>
      <c r="P35" s="13">
        <f t="shared" si="4"/>
        <v>-3.2720864241341248E-2</v>
      </c>
      <c r="Q35" s="114">
        <f t="shared" si="5"/>
        <v>25820.957999999999</v>
      </c>
      <c r="R35" s="1">
        <f t="shared" si="6"/>
        <v>8.7156830875507432E-4</v>
      </c>
    </row>
    <row r="36" spans="1:18" x14ac:dyDescent="0.2">
      <c r="A36" s="29" t="s">
        <v>51</v>
      </c>
      <c r="B36" s="29"/>
      <c r="C36" s="30">
        <v>41308.300000000003</v>
      </c>
      <c r="D36" s="32"/>
      <c r="E36" s="1">
        <f t="shared" si="0"/>
        <v>-5021.0151371295879</v>
      </c>
      <c r="F36" s="1">
        <f t="shared" si="1"/>
        <v>-5021</v>
      </c>
      <c r="G36" s="1">
        <f t="shared" si="2"/>
        <v>-1.2972899996384513E-2</v>
      </c>
      <c r="I36" s="1">
        <f t="shared" ref="I36:I67" si="7">G36</f>
        <v>-1.2972899996384513E-2</v>
      </c>
      <c r="P36" s="13">
        <f t="shared" si="4"/>
        <v>-2.8615415709654167E-2</v>
      </c>
      <c r="Q36" s="114">
        <f t="shared" si="5"/>
        <v>26289.800000000003</v>
      </c>
      <c r="R36" s="1">
        <f t="shared" si="6"/>
        <v>2.4468829783988802E-4</v>
      </c>
    </row>
    <row r="37" spans="1:18" x14ac:dyDescent="0.2">
      <c r="A37" s="29" t="s">
        <v>52</v>
      </c>
      <c r="B37" s="29"/>
      <c r="C37" s="30">
        <v>42289.591999999997</v>
      </c>
      <c r="D37" s="32"/>
      <c r="E37" s="1">
        <f t="shared" si="0"/>
        <v>-3876.0171668251078</v>
      </c>
      <c r="F37" s="1">
        <f t="shared" si="1"/>
        <v>-3876</v>
      </c>
      <c r="G37" s="1">
        <f t="shared" si="2"/>
        <v>-1.471240000682883E-2</v>
      </c>
      <c r="I37" s="1">
        <f t="shared" si="7"/>
        <v>-1.471240000682883E-2</v>
      </c>
      <c r="P37" s="13">
        <f t="shared" si="4"/>
        <v>-2.0650204279100588E-2</v>
      </c>
      <c r="Q37" s="114">
        <f t="shared" si="5"/>
        <v>27271.091999999997</v>
      </c>
      <c r="R37" s="1">
        <f t="shared" si="6"/>
        <v>3.5257519575808747E-5</v>
      </c>
    </row>
    <row r="38" spans="1:18" x14ac:dyDescent="0.2">
      <c r="A38" s="29" t="s">
        <v>53</v>
      </c>
      <c r="B38" s="29"/>
      <c r="C38" s="30">
        <v>42405.294000000002</v>
      </c>
      <c r="D38" s="32"/>
      <c r="E38" s="1">
        <f t="shared" si="0"/>
        <v>-3741.0129528295029</v>
      </c>
      <c r="F38" s="1">
        <f t="shared" si="1"/>
        <v>-3741</v>
      </c>
      <c r="G38" s="1">
        <f t="shared" si="2"/>
        <v>-1.1100900002929848E-2</v>
      </c>
      <c r="I38" s="1">
        <f t="shared" si="7"/>
        <v>-1.1100900002929848E-2</v>
      </c>
      <c r="P38" s="13">
        <f t="shared" si="4"/>
        <v>-1.9767129747333193E-2</v>
      </c>
      <c r="Q38" s="114">
        <f t="shared" si="5"/>
        <v>27386.794000000002</v>
      </c>
      <c r="R38" s="1">
        <f t="shared" si="6"/>
        <v>7.5103537982781278E-5</v>
      </c>
    </row>
    <row r="39" spans="1:18" x14ac:dyDescent="0.2">
      <c r="A39" s="29" t="s">
        <v>54</v>
      </c>
      <c r="B39" s="29"/>
      <c r="C39" s="30">
        <v>42416.42</v>
      </c>
      <c r="D39" s="32"/>
      <c r="E39" s="1">
        <f t="shared" si="0"/>
        <v>-3728.0308359696855</v>
      </c>
      <c r="F39" s="1">
        <f t="shared" si="1"/>
        <v>-3728</v>
      </c>
      <c r="G39" s="1">
        <f t="shared" si="2"/>
        <v>-2.6427200005855411E-2</v>
      </c>
      <c r="I39" s="1">
        <f t="shared" si="7"/>
        <v>-2.6427200005855411E-2</v>
      </c>
      <c r="P39" s="13">
        <f t="shared" si="4"/>
        <v>-1.968271707370248E-2</v>
      </c>
      <c r="Q39" s="114">
        <f t="shared" si="5"/>
        <v>27397.919999999998</v>
      </c>
      <c r="R39" s="1">
        <f t="shared" si="6"/>
        <v>4.5488050022102192E-5</v>
      </c>
    </row>
    <row r="40" spans="1:18" x14ac:dyDescent="0.2">
      <c r="A40" s="29" t="s">
        <v>54</v>
      </c>
      <c r="B40" s="29"/>
      <c r="C40" s="30">
        <v>42416.427000000003</v>
      </c>
      <c r="D40" s="32"/>
      <c r="E40" s="1">
        <f t="shared" si="0"/>
        <v>-3728.0226681808949</v>
      </c>
      <c r="F40" s="1">
        <f t="shared" si="1"/>
        <v>-3728</v>
      </c>
      <c r="G40" s="1">
        <f t="shared" si="2"/>
        <v>-1.9427200000791345E-2</v>
      </c>
      <c r="I40" s="1">
        <f t="shared" si="7"/>
        <v>-1.9427200000791345E-2</v>
      </c>
      <c r="P40" s="13">
        <f t="shared" si="4"/>
        <v>-1.968271707370248E-2</v>
      </c>
      <c r="Q40" s="114">
        <f t="shared" si="5"/>
        <v>27397.927000000003</v>
      </c>
      <c r="R40" s="1">
        <f t="shared" si="6"/>
        <v>6.5288974549074637E-8</v>
      </c>
    </row>
    <row r="41" spans="1:18" x14ac:dyDescent="0.2">
      <c r="A41" s="29" t="s">
        <v>54</v>
      </c>
      <c r="B41" s="29"/>
      <c r="C41" s="30">
        <v>42417.273999999998</v>
      </c>
      <c r="D41" s="32"/>
      <c r="E41" s="1">
        <f t="shared" si="0"/>
        <v>-3727.0343657379508</v>
      </c>
      <c r="F41" s="1">
        <f t="shared" si="1"/>
        <v>-3727</v>
      </c>
      <c r="G41" s="1">
        <f t="shared" si="2"/>
        <v>-2.9452300004777499E-2</v>
      </c>
      <c r="I41" s="1">
        <f t="shared" si="7"/>
        <v>-2.9452300004777499E-2</v>
      </c>
      <c r="P41" s="13">
        <f t="shared" si="4"/>
        <v>-1.9676228332624779E-2</v>
      </c>
      <c r="Q41" s="114">
        <f t="shared" si="5"/>
        <v>27398.773999999998</v>
      </c>
      <c r="R41" s="1">
        <f t="shared" si="6"/>
        <v>9.5571577339066877E-5</v>
      </c>
    </row>
    <row r="42" spans="1:18" x14ac:dyDescent="0.2">
      <c r="A42" s="29" t="s">
        <v>54</v>
      </c>
      <c r="B42" s="29"/>
      <c r="C42" s="30">
        <v>42417.279999999999</v>
      </c>
      <c r="D42" s="32"/>
      <c r="E42" s="1">
        <f t="shared" si="0"/>
        <v>-3727.0273647761342</v>
      </c>
      <c r="F42" s="1">
        <f t="shared" si="1"/>
        <v>-3727</v>
      </c>
      <c r="G42" s="1">
        <f t="shared" si="2"/>
        <v>-2.3452300003555138E-2</v>
      </c>
      <c r="I42" s="1">
        <f t="shared" si="7"/>
        <v>-2.3452300003555138E-2</v>
      </c>
      <c r="P42" s="13">
        <f t="shared" si="4"/>
        <v>-1.9676228332624779E-2</v>
      </c>
      <c r="Q42" s="114">
        <f t="shared" si="5"/>
        <v>27398.78</v>
      </c>
      <c r="R42" s="1">
        <f t="shared" si="6"/>
        <v>1.4258717264002791E-5</v>
      </c>
    </row>
    <row r="43" spans="1:18" x14ac:dyDescent="0.2">
      <c r="A43" s="29" t="s">
        <v>55</v>
      </c>
      <c r="B43" s="29"/>
      <c r="C43" s="30">
        <v>42453.267999999996</v>
      </c>
      <c r="D43" s="32"/>
      <c r="E43" s="1">
        <f t="shared" si="0"/>
        <v>-3685.0355958069435</v>
      </c>
      <c r="F43" s="1">
        <f t="shared" si="1"/>
        <v>-3685</v>
      </c>
      <c r="G43" s="1">
        <f t="shared" si="2"/>
        <v>-3.0506500006595161E-2</v>
      </c>
      <c r="I43" s="1">
        <f t="shared" si="7"/>
        <v>-3.0506500006595161E-2</v>
      </c>
      <c r="P43" s="13">
        <f t="shared" si="4"/>
        <v>-1.9404287062058073E-2</v>
      </c>
      <c r="Q43" s="114">
        <f t="shared" si="5"/>
        <v>27434.767999999996</v>
      </c>
      <c r="R43" s="1">
        <f t="shared" si="6"/>
        <v>1.2325913226584687E-4</v>
      </c>
    </row>
    <row r="44" spans="1:18" x14ac:dyDescent="0.2">
      <c r="A44" s="29" t="s">
        <v>55</v>
      </c>
      <c r="B44" s="29"/>
      <c r="C44" s="30">
        <v>42464.417999999998</v>
      </c>
      <c r="D44" s="32"/>
      <c r="E44" s="1">
        <f t="shared" si="0"/>
        <v>-3672.0254750998583</v>
      </c>
      <c r="F44" s="1">
        <f t="shared" si="1"/>
        <v>-3672</v>
      </c>
      <c r="G44" s="1">
        <f t="shared" si="2"/>
        <v>-2.1832800004631281E-2</v>
      </c>
      <c r="I44" s="1">
        <f t="shared" si="7"/>
        <v>-2.1832800004631281E-2</v>
      </c>
      <c r="P44" s="13">
        <f t="shared" si="4"/>
        <v>-1.9320346705392167E-2</v>
      </c>
      <c r="Q44" s="114">
        <f t="shared" si="5"/>
        <v>27445.917999999998</v>
      </c>
      <c r="R44" s="1">
        <f t="shared" si="6"/>
        <v>6.3124215808575089E-6</v>
      </c>
    </row>
    <row r="45" spans="1:18" x14ac:dyDescent="0.2">
      <c r="A45" s="33" t="s">
        <v>56</v>
      </c>
      <c r="B45" s="34" t="s">
        <v>57</v>
      </c>
      <c r="C45" s="33">
        <v>43420.756000000001</v>
      </c>
      <c r="D45" s="30"/>
      <c r="E45" s="29">
        <f t="shared" si="0"/>
        <v>-2556.1445049859103</v>
      </c>
      <c r="F45" s="1">
        <f t="shared" si="1"/>
        <v>-2556</v>
      </c>
      <c r="G45" s="1">
        <f t="shared" si="2"/>
        <v>-0.12384439999732422</v>
      </c>
      <c r="I45" s="1">
        <f t="shared" si="7"/>
        <v>-0.12384439999732422</v>
      </c>
      <c r="O45" s="1">
        <f ca="1">+C$11+C$12*F45</f>
        <v>3.0114486008633205E-2</v>
      </c>
      <c r="P45" s="13">
        <f t="shared" si="4"/>
        <v>-1.2523114089915421E-2</v>
      </c>
      <c r="Q45" s="114">
        <f t="shared" si="5"/>
        <v>28402.256000000001</v>
      </c>
      <c r="R45" s="1">
        <f t="shared" si="6"/>
        <v>1.2392428696079051E-2</v>
      </c>
    </row>
    <row r="46" spans="1:18" x14ac:dyDescent="0.2">
      <c r="A46" s="33" t="s">
        <v>56</v>
      </c>
      <c r="B46" s="34" t="s">
        <v>57</v>
      </c>
      <c r="C46" s="33">
        <v>43469.580999999998</v>
      </c>
      <c r="D46" s="30"/>
      <c r="E46" s="29">
        <f t="shared" si="0"/>
        <v>-2499.1741782125205</v>
      </c>
      <c r="F46" s="1">
        <f t="shared" si="1"/>
        <v>-2499</v>
      </c>
      <c r="G46" s="1">
        <f t="shared" si="2"/>
        <v>-0.14927510000416078</v>
      </c>
      <c r="I46" s="1">
        <f t="shared" si="7"/>
        <v>-0.14927510000416078</v>
      </c>
      <c r="O46" s="1">
        <f ca="1">+C$11+C$12*F46</f>
        <v>3.0034403975653882E-2</v>
      </c>
      <c r="P46" s="13">
        <f t="shared" si="4"/>
        <v>-1.2197632881993388E-2</v>
      </c>
      <c r="Q46" s="114">
        <f t="shared" si="5"/>
        <v>28451.080999999998</v>
      </c>
      <c r="R46" s="1">
        <f t="shared" si="6"/>
        <v>1.8790231992628883E-2</v>
      </c>
    </row>
    <row r="47" spans="1:18" x14ac:dyDescent="0.2">
      <c r="A47" s="33" t="s">
        <v>56</v>
      </c>
      <c r="B47" s="34" t="s">
        <v>57</v>
      </c>
      <c r="C47" s="33">
        <v>43798.694000000003</v>
      </c>
      <c r="D47" s="32"/>
      <c r="E47" s="29">
        <f t="shared" si="0"/>
        <v>-2115.1562538833441</v>
      </c>
      <c r="F47" s="1">
        <f t="shared" si="1"/>
        <v>-2115</v>
      </c>
      <c r="G47" s="1">
        <f t="shared" si="2"/>
        <v>-0.13391350000165403</v>
      </c>
      <c r="I47" s="1">
        <f t="shared" si="7"/>
        <v>-0.13391350000165403</v>
      </c>
      <c r="O47" s="1">
        <f ca="1">+C$11+C$12*F47</f>
        <v>2.9494903964003713E-2</v>
      </c>
      <c r="P47" s="13">
        <f t="shared" si="4"/>
        <v>-1.0059851472207209E-2</v>
      </c>
      <c r="Q47" s="114">
        <f t="shared" si="5"/>
        <v>28780.194000000003</v>
      </c>
      <c r="R47" s="1">
        <f t="shared" si="6"/>
        <v>1.5339726254055743E-2</v>
      </c>
    </row>
    <row r="48" spans="1:18" x14ac:dyDescent="0.2">
      <c r="A48" s="33" t="s">
        <v>56</v>
      </c>
      <c r="B48" s="34" t="s">
        <v>57</v>
      </c>
      <c r="C48" s="33">
        <v>43876.66</v>
      </c>
      <c r="D48" s="32"/>
      <c r="E48" s="29">
        <f t="shared" si="0"/>
        <v>-2024.1834223991784</v>
      </c>
      <c r="F48" s="1">
        <f t="shared" si="1"/>
        <v>-2024</v>
      </c>
      <c r="G48" s="1">
        <f t="shared" si="2"/>
        <v>-0.15719759999774396</v>
      </c>
      <c r="I48" s="1">
        <f t="shared" si="7"/>
        <v>-0.15719759999774396</v>
      </c>
      <c r="O48" s="1">
        <f ca="1">+C$11+C$12*F48</f>
        <v>2.93670537008262E-2</v>
      </c>
      <c r="P48" s="13">
        <f t="shared" si="4"/>
        <v>-9.5672637250934032E-3</v>
      </c>
      <c r="Q48" s="114">
        <f t="shared" si="5"/>
        <v>28858.160000000003</v>
      </c>
      <c r="R48" s="1">
        <f t="shared" si="6"/>
        <v>2.1794716187975887E-2</v>
      </c>
    </row>
    <row r="49" spans="1:18" x14ac:dyDescent="0.2">
      <c r="A49" s="33" t="s">
        <v>56</v>
      </c>
      <c r="B49" s="34" t="s">
        <v>57</v>
      </c>
      <c r="C49" s="33">
        <v>44236.618999999999</v>
      </c>
      <c r="D49" s="32"/>
      <c r="E49" s="29">
        <f t="shared" si="0"/>
        <v>-1604.173553376678</v>
      </c>
      <c r="F49" s="1">
        <f t="shared" si="1"/>
        <v>-1604</v>
      </c>
      <c r="G49" s="1">
        <f t="shared" si="2"/>
        <v>-0.14873960000113584</v>
      </c>
      <c r="I49" s="1">
        <f t="shared" si="7"/>
        <v>-0.14873960000113584</v>
      </c>
      <c r="O49" s="1">
        <f ca="1">+C$11+C$12*F49</f>
        <v>2.8776975563083826E-2</v>
      </c>
      <c r="P49" s="13">
        <f t="shared" si="4"/>
        <v>-7.3634031525541569E-3</v>
      </c>
      <c r="Q49" s="114">
        <f t="shared" si="5"/>
        <v>29218.118999999999</v>
      </c>
      <c r="R49" s="1">
        <f t="shared" si="6"/>
        <v>1.9987229035368918E-2</v>
      </c>
    </row>
    <row r="50" spans="1:18" x14ac:dyDescent="0.2">
      <c r="A50" s="29" t="s">
        <v>58</v>
      </c>
      <c r="B50" s="29"/>
      <c r="C50" s="30">
        <v>44843.548999999999</v>
      </c>
      <c r="D50" s="32"/>
      <c r="E50" s="1">
        <f t="shared" si="0"/>
        <v>-895.99126093273401</v>
      </c>
      <c r="F50" s="1">
        <f t="shared" si="1"/>
        <v>-896</v>
      </c>
      <c r="G50" s="1">
        <f t="shared" si="2"/>
        <v>7.4896000005537644E-3</v>
      </c>
      <c r="I50" s="1">
        <f t="shared" si="7"/>
        <v>7.4896000005537644E-3</v>
      </c>
      <c r="P50" s="13">
        <f t="shared" si="4"/>
        <v>-3.9073923520490305E-3</v>
      </c>
      <c r="Q50" s="114">
        <f t="shared" si="5"/>
        <v>29825.048999999999</v>
      </c>
      <c r="R50" s="1">
        <f t="shared" si="6"/>
        <v>1.2989143468528661E-4</v>
      </c>
    </row>
    <row r="51" spans="1:18" x14ac:dyDescent="0.2">
      <c r="A51" s="29" t="s">
        <v>58</v>
      </c>
      <c r="B51" s="29"/>
      <c r="C51" s="30">
        <v>44874.404999999999</v>
      </c>
      <c r="D51" s="32"/>
      <c r="E51" s="1">
        <f t="shared" si="0"/>
        <v>-859.9876479697067</v>
      </c>
      <c r="F51" s="1">
        <f t="shared" si="1"/>
        <v>-860</v>
      </c>
      <c r="G51" s="1">
        <f t="shared" si="2"/>
        <v>1.0585999996692408E-2</v>
      </c>
      <c r="I51" s="1">
        <f t="shared" si="7"/>
        <v>1.0585999996692408E-2</v>
      </c>
      <c r="P51" s="13">
        <f t="shared" si="4"/>
        <v>-3.7403515453454691E-3</v>
      </c>
      <c r="Q51" s="114">
        <f t="shared" si="5"/>
        <v>29855.904999999999</v>
      </c>
      <c r="R51" s="1">
        <f t="shared" si="6"/>
        <v>2.0524434850605107E-4</v>
      </c>
    </row>
    <row r="52" spans="1:18" x14ac:dyDescent="0.2">
      <c r="A52" s="29" t="s">
        <v>59</v>
      </c>
      <c r="B52" s="29"/>
      <c r="C52" s="30">
        <v>44885.527999999998</v>
      </c>
      <c r="D52" s="32"/>
      <c r="E52" s="1">
        <f t="shared" si="0"/>
        <v>-847.00903159079371</v>
      </c>
      <c r="F52" s="1">
        <f t="shared" si="1"/>
        <v>-847</v>
      </c>
      <c r="G52" s="1">
        <f t="shared" si="2"/>
        <v>-7.7403000032063574E-3</v>
      </c>
      <c r="I52" s="1">
        <f t="shared" si="7"/>
        <v>-7.7403000032063574E-3</v>
      </c>
      <c r="P52" s="13">
        <f t="shared" si="4"/>
        <v>-3.6802378927079547E-3</v>
      </c>
      <c r="Q52" s="114">
        <f t="shared" si="5"/>
        <v>29867.027999999998</v>
      </c>
      <c r="R52" s="1">
        <f t="shared" si="6"/>
        <v>1.6484104341104743E-5</v>
      </c>
    </row>
    <row r="53" spans="1:18" x14ac:dyDescent="0.2">
      <c r="A53" s="29" t="s">
        <v>58</v>
      </c>
      <c r="B53" s="29"/>
      <c r="C53" s="30">
        <v>44970.383999999998</v>
      </c>
      <c r="D53" s="32"/>
      <c r="E53" s="1">
        <f t="shared" si="0"/>
        <v>-747.99676228852968</v>
      </c>
      <c r="F53" s="1">
        <f t="shared" si="1"/>
        <v>-748</v>
      </c>
      <c r="G53" s="1">
        <f t="shared" ref="G53:G84" si="8">+C53-(C$7+F53*C$8)</f>
        <v>2.7747999993152916E-3</v>
      </c>
      <c r="I53" s="1">
        <f t="shared" si="7"/>
        <v>2.7747999993152916E-3</v>
      </c>
      <c r="P53" s="13">
        <f t="shared" si="4"/>
        <v>-3.2260461825850536E-3</v>
      </c>
      <c r="Q53" s="114">
        <f t="shared" si="5"/>
        <v>29951.883999999998</v>
      </c>
      <c r="R53" s="1">
        <f t="shared" si="6"/>
        <v>3.6010154898827952E-5</v>
      </c>
    </row>
    <row r="54" spans="1:18" x14ac:dyDescent="0.2">
      <c r="A54" s="29" t="s">
        <v>60</v>
      </c>
      <c r="B54" s="29"/>
      <c r="C54" s="30">
        <v>44982.368000000002</v>
      </c>
      <c r="D54" s="32"/>
      <c r="E54" s="1">
        <f t="shared" si="0"/>
        <v>-734.01350788909133</v>
      </c>
      <c r="F54" s="1">
        <f t="shared" si="1"/>
        <v>-734</v>
      </c>
      <c r="G54" s="1">
        <f t="shared" si="8"/>
        <v>-1.1576600001717452E-2</v>
      </c>
      <c r="I54" s="1">
        <f t="shared" si="7"/>
        <v>-1.1576600001717452E-2</v>
      </c>
      <c r="P54" s="13">
        <f t="shared" si="4"/>
        <v>-3.1623302424089068E-3</v>
      </c>
      <c r="Q54" s="114">
        <f t="shared" si="5"/>
        <v>29963.868000000002</v>
      </c>
      <c r="R54" s="1">
        <f t="shared" si="6"/>
        <v>7.0799935582414286E-5</v>
      </c>
    </row>
    <row r="55" spans="1:18" x14ac:dyDescent="0.2">
      <c r="A55" s="29" t="s">
        <v>60</v>
      </c>
      <c r="B55" s="29"/>
      <c r="C55" s="30">
        <v>45012.368000000002</v>
      </c>
      <c r="D55" s="32"/>
      <c r="E55" s="1">
        <f t="shared" si="0"/>
        <v>-699.00869881173764</v>
      </c>
      <c r="F55" s="1">
        <f t="shared" si="1"/>
        <v>-699</v>
      </c>
      <c r="G55" s="1">
        <f t="shared" si="8"/>
        <v>-7.4550999997882172E-3</v>
      </c>
      <c r="I55" s="1">
        <f t="shared" si="7"/>
        <v>-7.4550999997882172E-3</v>
      </c>
      <c r="P55" s="13">
        <f t="shared" si="4"/>
        <v>-3.0035967268549749E-3</v>
      </c>
      <c r="Q55" s="114">
        <f t="shared" si="5"/>
        <v>29993.868000000002</v>
      </c>
      <c r="R55" s="1">
        <f t="shared" si="6"/>
        <v>1.9815881388935374E-5</v>
      </c>
    </row>
    <row r="56" spans="1:18" x14ac:dyDescent="0.2">
      <c r="A56" s="29" t="s">
        <v>60</v>
      </c>
      <c r="B56" s="29"/>
      <c r="C56" s="30">
        <v>45191.483999999997</v>
      </c>
      <c r="D56" s="32"/>
      <c r="E56" s="1">
        <f t="shared" si="0"/>
        <v>-490.01131938843423</v>
      </c>
      <c r="F56" s="1">
        <f t="shared" si="1"/>
        <v>-490</v>
      </c>
      <c r="G56" s="1">
        <f t="shared" si="8"/>
        <v>-9.7010000026784837E-3</v>
      </c>
      <c r="I56" s="1">
        <f t="shared" si="7"/>
        <v>-9.7010000026784837E-3</v>
      </c>
      <c r="P56" s="13">
        <f t="shared" si="4"/>
        <v>-2.072273648768008E-3</v>
      </c>
      <c r="Q56" s="114">
        <f t="shared" si="5"/>
        <v>30172.983999999997</v>
      </c>
      <c r="R56" s="1">
        <f t="shared" si="6"/>
        <v>5.819746578284823E-5</v>
      </c>
    </row>
    <row r="57" spans="1:18" x14ac:dyDescent="0.2">
      <c r="A57" s="29" t="s">
        <v>61</v>
      </c>
      <c r="B57" s="29"/>
      <c r="C57" s="30">
        <v>45240.339</v>
      </c>
      <c r="D57" s="32"/>
      <c r="E57" s="1">
        <f t="shared" si="0"/>
        <v>-433.00598780595993</v>
      </c>
      <c r="F57" s="1">
        <f t="shared" si="1"/>
        <v>-433</v>
      </c>
      <c r="G57" s="1">
        <f t="shared" si="8"/>
        <v>-5.131700003403239E-3</v>
      </c>
      <c r="I57" s="1">
        <f t="shared" si="7"/>
        <v>-5.131700003403239E-3</v>
      </c>
      <c r="P57" s="13">
        <f t="shared" si="4"/>
        <v>-1.8231949002003982E-3</v>
      </c>
      <c r="Q57" s="114">
        <f t="shared" si="5"/>
        <v>30221.839</v>
      </c>
      <c r="R57" s="1">
        <f t="shared" si="6"/>
        <v>1.0946206017919241E-5</v>
      </c>
    </row>
    <row r="58" spans="1:18" x14ac:dyDescent="0.2">
      <c r="A58" s="29" t="s">
        <v>61</v>
      </c>
      <c r="B58" s="29"/>
      <c r="C58" s="30">
        <v>45240.345000000001</v>
      </c>
      <c r="D58" s="32"/>
      <c r="E58" s="1">
        <f t="shared" si="0"/>
        <v>-432.99898684414302</v>
      </c>
      <c r="F58" s="1">
        <f t="shared" si="1"/>
        <v>-433</v>
      </c>
      <c r="G58" s="1">
        <f t="shared" si="8"/>
        <v>8.6829999781912193E-4</v>
      </c>
      <c r="I58" s="1">
        <f t="shared" si="7"/>
        <v>8.6829999781912193E-4</v>
      </c>
      <c r="P58" s="13">
        <f t="shared" si="4"/>
        <v>-1.8231949002003982E-3</v>
      </c>
      <c r="Q58" s="114">
        <f t="shared" si="5"/>
        <v>30221.845000000001</v>
      </c>
      <c r="R58" s="1">
        <f t="shared" si="6"/>
        <v>7.2441447860651058E-6</v>
      </c>
    </row>
    <row r="59" spans="1:18" x14ac:dyDescent="0.2">
      <c r="A59" s="29" t="s">
        <v>61</v>
      </c>
      <c r="B59" s="29"/>
      <c r="C59" s="30">
        <v>45240.36</v>
      </c>
      <c r="D59" s="32"/>
      <c r="E59" s="1">
        <f t="shared" si="0"/>
        <v>-432.98148443960503</v>
      </c>
      <c r="F59" s="1">
        <f t="shared" si="1"/>
        <v>-433</v>
      </c>
      <c r="G59" s="1">
        <f t="shared" si="8"/>
        <v>1.5868299997237045E-2</v>
      </c>
      <c r="I59" s="1">
        <f t="shared" si="7"/>
        <v>1.5868299997237045E-2</v>
      </c>
      <c r="P59" s="13">
        <f t="shared" si="4"/>
        <v>-1.8231949002003982E-3</v>
      </c>
      <c r="Q59" s="114">
        <f t="shared" si="5"/>
        <v>30221.86</v>
      </c>
      <c r="R59" s="1">
        <f t="shared" si="6"/>
        <v>3.1298899170605505E-4</v>
      </c>
    </row>
    <row r="60" spans="1:18" x14ac:dyDescent="0.2">
      <c r="A60" s="29" t="s">
        <v>62</v>
      </c>
      <c r="B60" s="29"/>
      <c r="C60" s="30">
        <v>45282.32</v>
      </c>
      <c r="D60" s="32"/>
      <c r="E60" s="1">
        <f t="shared" si="0"/>
        <v>-384.02142481008059</v>
      </c>
      <c r="F60" s="1">
        <f t="shared" si="1"/>
        <v>-384</v>
      </c>
      <c r="G60" s="1">
        <f t="shared" si="8"/>
        <v>-1.8361599999479949E-2</v>
      </c>
      <c r="I60" s="1">
        <f t="shared" si="7"/>
        <v>-1.8361599999479949E-2</v>
      </c>
      <c r="P60" s="13">
        <f t="shared" si="4"/>
        <v>-1.6107594724261588E-3</v>
      </c>
      <c r="Q60" s="114">
        <f t="shared" si="5"/>
        <v>30263.82</v>
      </c>
      <c r="R60" s="1">
        <f t="shared" si="6"/>
        <v>2.8059065836278778E-4</v>
      </c>
    </row>
    <row r="61" spans="1:18" x14ac:dyDescent="0.2">
      <c r="A61" s="29" t="s">
        <v>62</v>
      </c>
      <c r="B61" s="29"/>
      <c r="C61" s="30">
        <v>45288.356</v>
      </c>
      <c r="D61" s="32"/>
      <c r="E61" s="1">
        <f t="shared" si="0"/>
        <v>-376.97845722371699</v>
      </c>
      <c r="F61" s="1">
        <f t="shared" si="1"/>
        <v>-377</v>
      </c>
      <c r="G61" s="1">
        <f t="shared" si="8"/>
        <v>1.8462699998053722E-2</v>
      </c>
      <c r="I61" s="1">
        <f t="shared" si="7"/>
        <v>1.8462699998053722E-2</v>
      </c>
      <c r="P61" s="13">
        <f t="shared" si="4"/>
        <v>-1.5805387164324525E-3</v>
      </c>
      <c r="Q61" s="114">
        <f t="shared" si="5"/>
        <v>30269.856</v>
      </c>
      <c r="R61" s="1">
        <f t="shared" si="6"/>
        <v>4.0173141816587731E-4</v>
      </c>
    </row>
    <row r="62" spans="1:18" x14ac:dyDescent="0.2">
      <c r="A62" s="29" t="s">
        <v>62</v>
      </c>
      <c r="B62" s="29"/>
      <c r="C62" s="30">
        <v>45294.317999999999</v>
      </c>
      <c r="D62" s="32"/>
      <c r="E62" s="1">
        <f t="shared" si="0"/>
        <v>-370.02183483307806</v>
      </c>
      <c r="F62" s="1">
        <f t="shared" si="1"/>
        <v>-370</v>
      </c>
      <c r="G62" s="1">
        <f t="shared" si="8"/>
        <v>-1.8713000004936475E-2</v>
      </c>
      <c r="I62" s="1">
        <f t="shared" si="7"/>
        <v>-1.8713000004936475E-2</v>
      </c>
      <c r="P62" s="13">
        <f t="shared" si="4"/>
        <v>-1.5503497510036858E-3</v>
      </c>
      <c r="Q62" s="114">
        <f t="shared" si="5"/>
        <v>30275.817999999999</v>
      </c>
      <c r="R62" s="1">
        <f t="shared" si="6"/>
        <v>2.9455656373881926E-4</v>
      </c>
    </row>
    <row r="63" spans="1:18" x14ac:dyDescent="0.2">
      <c r="A63" s="29" t="s">
        <v>62</v>
      </c>
      <c r="B63" s="29"/>
      <c r="C63" s="30">
        <v>45294.349000000002</v>
      </c>
      <c r="D63" s="32"/>
      <c r="E63" s="1">
        <f t="shared" si="0"/>
        <v>-369.98566319702837</v>
      </c>
      <c r="F63" s="1">
        <f t="shared" si="1"/>
        <v>-370</v>
      </c>
      <c r="G63" s="1">
        <f t="shared" si="8"/>
        <v>1.2286999997741077E-2</v>
      </c>
      <c r="I63" s="1">
        <f t="shared" si="7"/>
        <v>1.2286999997741077E-2</v>
      </c>
      <c r="P63" s="13">
        <f t="shared" si="4"/>
        <v>-1.5503497510036858E-3</v>
      </c>
      <c r="Q63" s="114">
        <f t="shared" si="5"/>
        <v>30275.849000000002</v>
      </c>
      <c r="R63" s="1">
        <f t="shared" si="6"/>
        <v>1.9147224806908674E-4</v>
      </c>
    </row>
    <row r="64" spans="1:18" x14ac:dyDescent="0.2">
      <c r="A64" s="29" t="s">
        <v>62</v>
      </c>
      <c r="B64" s="29"/>
      <c r="C64" s="30">
        <v>45342.347000000002</v>
      </c>
      <c r="D64" s="32"/>
      <c r="E64" s="1">
        <f t="shared" si="0"/>
        <v>-313.98030232720134</v>
      </c>
      <c r="F64" s="1">
        <f t="shared" si="1"/>
        <v>-314</v>
      </c>
      <c r="G64" s="1">
        <f t="shared" si="8"/>
        <v>1.6881399998965207E-2</v>
      </c>
      <c r="I64" s="1">
        <f t="shared" si="7"/>
        <v>1.6881399998965207E-2</v>
      </c>
      <c r="P64" s="13">
        <f t="shared" si="4"/>
        <v>-1.3099824879113607E-3</v>
      </c>
      <c r="Q64" s="114">
        <f t="shared" si="5"/>
        <v>30323.847000000002</v>
      </c>
      <c r="R64" s="1">
        <f t="shared" si="6"/>
        <v>3.3092639678383956E-4</v>
      </c>
    </row>
    <row r="65" spans="1:18" x14ac:dyDescent="0.2">
      <c r="A65" s="29" t="s">
        <v>63</v>
      </c>
      <c r="B65" s="29"/>
      <c r="C65" s="30">
        <v>45402.324000000001</v>
      </c>
      <c r="D65" s="32"/>
      <c r="E65" s="1">
        <f t="shared" si="0"/>
        <v>-243.9975211927877</v>
      </c>
      <c r="F65" s="1">
        <f t="shared" si="1"/>
        <v>-244</v>
      </c>
      <c r="G65" s="1">
        <f t="shared" si="8"/>
        <v>2.124400001775939E-3</v>
      </c>
      <c r="I65" s="1">
        <f t="shared" si="7"/>
        <v>2.124400001775939E-3</v>
      </c>
      <c r="P65" s="13">
        <f t="shared" si="4"/>
        <v>-1.0123845598904798E-3</v>
      </c>
      <c r="Q65" s="114">
        <f t="shared" si="5"/>
        <v>30383.824000000001</v>
      </c>
      <c r="R65" s="1">
        <f t="shared" si="6"/>
        <v>9.8394173863087871E-6</v>
      </c>
    </row>
    <row r="66" spans="1:18" x14ac:dyDescent="0.2">
      <c r="A66" s="29" t="s">
        <v>63</v>
      </c>
      <c r="B66" s="29"/>
      <c r="C66" s="30">
        <v>45402.332000000002</v>
      </c>
      <c r="D66" s="32"/>
      <c r="E66" s="1">
        <f t="shared" si="0"/>
        <v>-243.98818657703183</v>
      </c>
      <c r="F66" s="1">
        <f t="shared" si="1"/>
        <v>-244</v>
      </c>
      <c r="G66" s="1">
        <f t="shared" si="8"/>
        <v>1.0124400003405754E-2</v>
      </c>
      <c r="I66" s="1">
        <f t="shared" si="7"/>
        <v>1.0124400003405754E-2</v>
      </c>
      <c r="P66" s="13">
        <f t="shared" si="4"/>
        <v>-1.0123845598904798E-3</v>
      </c>
      <c r="Q66" s="114">
        <f t="shared" si="5"/>
        <v>30383.832000000002</v>
      </c>
      <c r="R66" s="1">
        <f t="shared" ref="R66:R97" si="9">+(P66-G66)^2</f>
        <v>1.2402797040927325E-4</v>
      </c>
    </row>
    <row r="67" spans="1:18" x14ac:dyDescent="0.2">
      <c r="A67" s="29" t="s">
        <v>64</v>
      </c>
      <c r="B67" s="29"/>
      <c r="C67" s="30">
        <v>45611.436000000002</v>
      </c>
      <c r="D67" s="32"/>
      <c r="E67" s="1">
        <f t="shared" si="0"/>
        <v>0</v>
      </c>
      <c r="F67" s="1">
        <f t="shared" si="1"/>
        <v>0</v>
      </c>
      <c r="G67" s="1">
        <f t="shared" si="8"/>
        <v>0</v>
      </c>
      <c r="I67" s="1">
        <f t="shared" si="7"/>
        <v>0</v>
      </c>
      <c r="P67" s="13">
        <f t="shared" si="4"/>
        <v>1.030552988397575E-7</v>
      </c>
      <c r="Q67" s="114">
        <f t="shared" si="5"/>
        <v>30592.936000000002</v>
      </c>
      <c r="R67" s="1">
        <f t="shared" si="9"/>
        <v>1.0620394618951725E-14</v>
      </c>
    </row>
    <row r="68" spans="1:18" x14ac:dyDescent="0.2">
      <c r="A68" s="29" t="s">
        <v>65</v>
      </c>
      <c r="B68" s="29"/>
      <c r="C68" s="30">
        <v>45611.436000000002</v>
      </c>
      <c r="D68" s="32" t="s">
        <v>16</v>
      </c>
      <c r="E68" s="1">
        <f t="shared" si="0"/>
        <v>0</v>
      </c>
      <c r="F68" s="1">
        <f t="shared" si="1"/>
        <v>0</v>
      </c>
      <c r="G68" s="1">
        <f t="shared" si="8"/>
        <v>0</v>
      </c>
      <c r="H68" s="1">
        <f>+G68</f>
        <v>0</v>
      </c>
      <c r="I68" s="1">
        <f t="shared" ref="I68:I99" si="10">G68</f>
        <v>0</v>
      </c>
      <c r="P68" s="13">
        <f t="shared" si="4"/>
        <v>1.030552988397575E-7</v>
      </c>
      <c r="Q68" s="114">
        <f t="shared" si="5"/>
        <v>30592.936000000002</v>
      </c>
      <c r="R68" s="1">
        <f t="shared" si="9"/>
        <v>1.0620394618951725E-14</v>
      </c>
    </row>
    <row r="69" spans="1:18" x14ac:dyDescent="0.2">
      <c r="A69" s="29" t="s">
        <v>60</v>
      </c>
      <c r="B69" s="29"/>
      <c r="C69" s="30">
        <v>45635.432999999997</v>
      </c>
      <c r="D69" s="32"/>
      <c r="E69" s="1">
        <f t="shared" si="0"/>
        <v>28.0003467809703</v>
      </c>
      <c r="F69" s="1">
        <f t="shared" si="1"/>
        <v>28</v>
      </c>
      <c r="G69" s="1">
        <f t="shared" si="8"/>
        <v>2.9719999292865396E-4</v>
      </c>
      <c r="I69" s="1">
        <f t="shared" si="10"/>
        <v>2.9719999292865396E-4</v>
      </c>
      <c r="P69" s="13">
        <f t="shared" si="4"/>
        <v>1.1381957763451933E-4</v>
      </c>
      <c r="Q69" s="114">
        <f t="shared" si="5"/>
        <v>30616.932999999997</v>
      </c>
      <c r="R69" s="1">
        <f t="shared" si="9"/>
        <v>3.3628376713449276E-8</v>
      </c>
    </row>
    <row r="70" spans="1:18" x14ac:dyDescent="0.2">
      <c r="A70" s="29" t="s">
        <v>66</v>
      </c>
      <c r="B70" s="29"/>
      <c r="C70" s="30">
        <v>45635.432999999997</v>
      </c>
      <c r="D70" s="31"/>
      <c r="E70" s="1">
        <f t="shared" si="0"/>
        <v>28.0003467809703</v>
      </c>
      <c r="F70" s="1">
        <f t="shared" si="1"/>
        <v>28</v>
      </c>
      <c r="G70" s="1">
        <f t="shared" si="8"/>
        <v>2.9719999292865396E-4</v>
      </c>
      <c r="I70" s="1">
        <f t="shared" si="10"/>
        <v>2.9719999292865396E-4</v>
      </c>
      <c r="P70" s="13">
        <f t="shared" si="4"/>
        <v>1.1381957763451933E-4</v>
      </c>
      <c r="Q70" s="114">
        <f t="shared" si="5"/>
        <v>30616.932999999997</v>
      </c>
      <c r="R70" s="1">
        <f t="shared" si="9"/>
        <v>3.3628376713449276E-8</v>
      </c>
    </row>
    <row r="71" spans="1:18" x14ac:dyDescent="0.2">
      <c r="A71" s="29" t="s">
        <v>64</v>
      </c>
      <c r="B71" s="29"/>
      <c r="C71" s="30">
        <v>45641.430999999997</v>
      </c>
      <c r="D71" s="32"/>
      <c r="E71" s="1">
        <f t="shared" si="0"/>
        <v>34.998974942502088</v>
      </c>
      <c r="F71" s="1">
        <f t="shared" si="1"/>
        <v>35</v>
      </c>
      <c r="G71" s="1">
        <f t="shared" si="8"/>
        <v>-8.7850000272737816E-4</v>
      </c>
      <c r="I71" s="1">
        <f t="shared" si="10"/>
        <v>-8.7850000272737816E-4</v>
      </c>
      <c r="P71" s="13">
        <f t="shared" si="4"/>
        <v>1.4216923180609126E-4</v>
      </c>
      <c r="Q71" s="114">
        <f t="shared" si="5"/>
        <v>30622.930999999997</v>
      </c>
      <c r="R71" s="1">
        <f t="shared" si="9"/>
        <v>1.0417656863231382E-6</v>
      </c>
    </row>
    <row r="72" spans="1:18" x14ac:dyDescent="0.2">
      <c r="A72" s="29" t="s">
        <v>64</v>
      </c>
      <c r="B72" s="29"/>
      <c r="C72" s="30">
        <v>45641.430999999997</v>
      </c>
      <c r="D72" s="31"/>
      <c r="E72" s="1">
        <f t="shared" si="0"/>
        <v>34.998974942502088</v>
      </c>
      <c r="F72" s="1">
        <f t="shared" si="1"/>
        <v>35</v>
      </c>
      <c r="G72" s="1">
        <f t="shared" si="8"/>
        <v>-8.7850000272737816E-4</v>
      </c>
      <c r="I72" s="1">
        <f t="shared" si="10"/>
        <v>-8.7850000272737816E-4</v>
      </c>
      <c r="P72" s="13">
        <f t="shared" si="4"/>
        <v>1.4216923180609126E-4</v>
      </c>
      <c r="Q72" s="114">
        <f t="shared" si="5"/>
        <v>30622.930999999997</v>
      </c>
      <c r="R72" s="1">
        <f t="shared" si="9"/>
        <v>1.0417656863231382E-6</v>
      </c>
    </row>
    <row r="73" spans="1:18" x14ac:dyDescent="0.2">
      <c r="A73" s="1" t="s">
        <v>64</v>
      </c>
      <c r="C73" s="32">
        <v>45642.273999999998</v>
      </c>
      <c r="D73" s="32"/>
      <c r="E73" s="1">
        <f t="shared" si="0"/>
        <v>35.982610077576609</v>
      </c>
      <c r="F73" s="1">
        <f t="shared" si="1"/>
        <v>36</v>
      </c>
      <c r="G73" s="1">
        <f t="shared" si="8"/>
        <v>-1.4903600007528439E-2</v>
      </c>
      <c r="I73" s="1">
        <f t="shared" si="10"/>
        <v>-1.4903600007528439E-2</v>
      </c>
      <c r="P73" s="13">
        <f t="shared" si="4"/>
        <v>1.4621658725387182E-4</v>
      </c>
      <c r="Q73" s="114">
        <f t="shared" si="5"/>
        <v>30623.773999999998</v>
      </c>
      <c r="R73" s="1">
        <f t="shared" si="9"/>
        <v>2.2649697953658503E-4</v>
      </c>
    </row>
    <row r="74" spans="1:18" x14ac:dyDescent="0.2">
      <c r="A74" s="1" t="s">
        <v>64</v>
      </c>
      <c r="C74" s="32">
        <v>45646.563999999998</v>
      </c>
      <c r="D74" s="32"/>
      <c r="E74" s="1">
        <f t="shared" si="0"/>
        <v>40.988297775639211</v>
      </c>
      <c r="F74" s="1">
        <f t="shared" si="1"/>
        <v>41</v>
      </c>
      <c r="G74" s="1">
        <f t="shared" si="8"/>
        <v>-1.0029100005340297E-2</v>
      </c>
      <c r="I74" s="1">
        <f t="shared" si="10"/>
        <v>-1.0029100005340297E-2</v>
      </c>
      <c r="P74" s="13">
        <f t="shared" si="4"/>
        <v>1.6644363268718097E-4</v>
      </c>
      <c r="Q74" s="114">
        <f t="shared" si="5"/>
        <v>30628.063999999998</v>
      </c>
      <c r="R74" s="1">
        <f t="shared" si="9"/>
        <v>1.0394911007492257E-4</v>
      </c>
    </row>
    <row r="75" spans="1:18" x14ac:dyDescent="0.2">
      <c r="A75" s="1" t="s">
        <v>59</v>
      </c>
      <c r="C75" s="32">
        <v>45671.404999999999</v>
      </c>
      <c r="D75" s="32"/>
      <c r="E75" s="1">
        <f t="shared" si="0"/>
        <v>69.973446518657767</v>
      </c>
      <c r="F75" s="1">
        <f t="shared" si="1"/>
        <v>70</v>
      </c>
      <c r="G75" s="1">
        <f t="shared" si="8"/>
        <v>-2.2757000006095041E-2</v>
      </c>
      <c r="I75" s="1">
        <f t="shared" si="10"/>
        <v>-2.2757000006095041E-2</v>
      </c>
      <c r="P75" s="13">
        <f t="shared" si="4"/>
        <v>2.8344064418986354E-4</v>
      </c>
      <c r="Q75" s="114">
        <f t="shared" si="5"/>
        <v>30652.904999999999</v>
      </c>
      <c r="R75" s="1">
        <f t="shared" si="9"/>
        <v>5.3086190535930108E-4</v>
      </c>
    </row>
    <row r="76" spans="1:18" x14ac:dyDescent="0.2">
      <c r="A76" s="1" t="s">
        <v>60</v>
      </c>
      <c r="C76" s="32">
        <v>45671.419000000002</v>
      </c>
      <c r="D76" s="32"/>
      <c r="E76" s="1">
        <f t="shared" si="0"/>
        <v>69.989782096230527</v>
      </c>
      <c r="F76" s="1">
        <f t="shared" si="1"/>
        <v>70</v>
      </c>
      <c r="G76" s="1">
        <f t="shared" si="8"/>
        <v>-8.7570000032428652E-3</v>
      </c>
      <c r="I76" s="1">
        <f t="shared" si="10"/>
        <v>-8.7570000032428652E-3</v>
      </c>
      <c r="P76" s="13">
        <f t="shared" si="4"/>
        <v>2.8344064418986354E-4</v>
      </c>
      <c r="Q76" s="114">
        <f t="shared" si="5"/>
        <v>30652.919000000002</v>
      </c>
      <c r="R76" s="1">
        <f t="shared" si="9"/>
        <v>8.1729567099753905E-5</v>
      </c>
    </row>
    <row r="77" spans="1:18" x14ac:dyDescent="0.2">
      <c r="A77" s="29" t="s">
        <v>66</v>
      </c>
      <c r="B77" s="29"/>
      <c r="C77" s="30">
        <v>45671.419000000002</v>
      </c>
      <c r="D77" s="31"/>
      <c r="E77" s="1">
        <f t="shared" si="0"/>
        <v>69.989782096230527</v>
      </c>
      <c r="F77" s="1">
        <f t="shared" si="1"/>
        <v>70</v>
      </c>
      <c r="G77" s="1">
        <f t="shared" si="8"/>
        <v>-8.7570000032428652E-3</v>
      </c>
      <c r="I77" s="1">
        <f t="shared" si="10"/>
        <v>-8.7570000032428652E-3</v>
      </c>
      <c r="P77" s="13">
        <f t="shared" si="4"/>
        <v>2.8344064418986354E-4</v>
      </c>
      <c r="Q77" s="114">
        <f t="shared" si="5"/>
        <v>30652.919000000002</v>
      </c>
      <c r="R77" s="1">
        <f t="shared" si="9"/>
        <v>8.1729567099753905E-5</v>
      </c>
    </row>
    <row r="78" spans="1:18" x14ac:dyDescent="0.2">
      <c r="A78" s="29" t="s">
        <v>67</v>
      </c>
      <c r="B78" s="29"/>
      <c r="C78" s="30">
        <v>45672.285000000003</v>
      </c>
      <c r="D78" s="32"/>
      <c r="E78" s="1">
        <f t="shared" si="0"/>
        <v>71.000254251598903</v>
      </c>
      <c r="F78" s="1">
        <f t="shared" si="1"/>
        <v>71</v>
      </c>
      <c r="G78" s="1">
        <f t="shared" si="8"/>
        <v>2.179000002797693E-4</v>
      </c>
      <c r="I78" s="1">
        <f t="shared" si="10"/>
        <v>2.179000002797693E-4</v>
      </c>
      <c r="P78" s="13">
        <f t="shared" si="4"/>
        <v>2.8746529209125894E-4</v>
      </c>
      <c r="Q78" s="114">
        <f t="shared" si="5"/>
        <v>30653.785000000003</v>
      </c>
      <c r="R78" s="1">
        <f t="shared" si="9"/>
        <v>4.8393298248177068E-9</v>
      </c>
    </row>
    <row r="79" spans="1:18" x14ac:dyDescent="0.2">
      <c r="A79" s="29" t="s">
        <v>68</v>
      </c>
      <c r="B79" s="29"/>
      <c r="C79" s="30">
        <v>45678.303</v>
      </c>
      <c r="D79" s="32"/>
      <c r="E79" s="1">
        <f t="shared" si="0"/>
        <v>78.022218952511864</v>
      </c>
      <c r="F79" s="1">
        <f t="shared" si="1"/>
        <v>78</v>
      </c>
      <c r="G79" s="1">
        <f t="shared" si="8"/>
        <v>1.9042200001422316E-2</v>
      </c>
      <c r="I79" s="1">
        <f t="shared" si="10"/>
        <v>1.9042200001422316E-2</v>
      </c>
      <c r="P79" s="13">
        <f t="shared" si="4"/>
        <v>3.1561966136391893E-4</v>
      </c>
      <c r="Q79" s="114">
        <f t="shared" si="5"/>
        <v>30659.803</v>
      </c>
      <c r="R79" s="1">
        <f t="shared" si="9"/>
        <v>3.506848112326617E-4</v>
      </c>
    </row>
    <row r="80" spans="1:18" x14ac:dyDescent="0.2">
      <c r="A80" s="29" t="s">
        <v>69</v>
      </c>
      <c r="B80" s="29"/>
      <c r="C80" s="30">
        <v>45731.427000000003</v>
      </c>
      <c r="D80" s="32"/>
      <c r="E80" s="1">
        <f t="shared" si="0"/>
        <v>140.00873486669389</v>
      </c>
      <c r="F80" s="1">
        <f t="shared" si="1"/>
        <v>140</v>
      </c>
      <c r="G80" s="1">
        <f t="shared" si="8"/>
        <v>7.4860000022454187E-3</v>
      </c>
      <c r="I80" s="1">
        <f t="shared" si="10"/>
        <v>7.4860000022454187E-3</v>
      </c>
      <c r="P80" s="13">
        <f t="shared" si="4"/>
        <v>5.6359917658697E-4</v>
      </c>
      <c r="Q80" s="114">
        <f t="shared" si="5"/>
        <v>30712.927000000003</v>
      </c>
      <c r="R80" s="1">
        <f t="shared" si="9"/>
        <v>4.7919633191076767E-5</v>
      </c>
    </row>
    <row r="81" spans="1:18" x14ac:dyDescent="0.2">
      <c r="A81" s="29" t="s">
        <v>68</v>
      </c>
      <c r="B81" s="29"/>
      <c r="C81" s="30">
        <v>45750.264999999999</v>
      </c>
      <c r="D81" s="32"/>
      <c r="E81" s="1">
        <f t="shared" si="0"/>
        <v>161.98942131332899</v>
      </c>
      <c r="F81" s="1">
        <f t="shared" si="1"/>
        <v>162</v>
      </c>
      <c r="G81" s="1">
        <f t="shared" si="8"/>
        <v>-9.0662000002339482E-3</v>
      </c>
      <c r="I81" s="1">
        <f t="shared" si="10"/>
        <v>-9.0662000002339482E-3</v>
      </c>
      <c r="P81" s="13">
        <f t="shared" si="4"/>
        <v>6.5099242857058232E-4</v>
      </c>
      <c r="Q81" s="114">
        <f t="shared" si="5"/>
        <v>30731.764999999999</v>
      </c>
      <c r="R81" s="1">
        <f t="shared" si="9"/>
        <v>9.4423828698416109E-5</v>
      </c>
    </row>
    <row r="82" spans="1:18" x14ac:dyDescent="0.2">
      <c r="A82" s="29" t="s">
        <v>70</v>
      </c>
      <c r="B82" s="29"/>
      <c r="C82" s="30">
        <v>45940.527999999998</v>
      </c>
      <c r="D82" s="32"/>
      <c r="E82" s="1">
        <f t="shared" si="0"/>
        <v>383.99342096281299</v>
      </c>
      <c r="F82" s="1">
        <f t="shared" si="1"/>
        <v>384</v>
      </c>
      <c r="G82" s="1">
        <f t="shared" si="8"/>
        <v>-5.638400005409494E-3</v>
      </c>
      <c r="I82" s="1">
        <f t="shared" si="10"/>
        <v>-5.638400005409494E-3</v>
      </c>
      <c r="P82" s="13">
        <f t="shared" si="4"/>
        <v>1.5152980413162763E-3</v>
      </c>
      <c r="Q82" s="114">
        <f t="shared" si="5"/>
        <v>30922.027999999998</v>
      </c>
      <c r="R82" s="1">
        <f t="shared" si="9"/>
        <v>5.1175395743728109E-5</v>
      </c>
    </row>
    <row r="83" spans="1:18" x14ac:dyDescent="0.2">
      <c r="A83" s="29" t="s">
        <v>70</v>
      </c>
      <c r="B83" s="29"/>
      <c r="C83" s="30">
        <v>45940.534</v>
      </c>
      <c r="D83" s="32"/>
      <c r="E83" s="1">
        <f t="shared" si="0"/>
        <v>384.0004219246299</v>
      </c>
      <c r="F83" s="1">
        <f t="shared" si="1"/>
        <v>384</v>
      </c>
      <c r="G83" s="1">
        <f t="shared" si="8"/>
        <v>3.6159999581286684E-4</v>
      </c>
      <c r="I83" s="1">
        <f t="shared" si="10"/>
        <v>3.6159999581286684E-4</v>
      </c>
      <c r="P83" s="13">
        <f t="shared" si="4"/>
        <v>1.5152980413162763E-3</v>
      </c>
      <c r="Q83" s="114">
        <f t="shared" si="5"/>
        <v>30922.034</v>
      </c>
      <c r="R83" s="1">
        <f t="shared" si="9"/>
        <v>1.3310191801983871E-6</v>
      </c>
    </row>
    <row r="84" spans="1:18" x14ac:dyDescent="0.2">
      <c r="A84" s="29" t="s">
        <v>71</v>
      </c>
      <c r="B84" s="29"/>
      <c r="C84" s="30">
        <v>45940.544999999998</v>
      </c>
      <c r="D84" s="32"/>
      <c r="E84" s="1">
        <f t="shared" si="0"/>
        <v>384.01325702128997</v>
      </c>
      <c r="F84" s="1">
        <f t="shared" si="1"/>
        <v>384</v>
      </c>
      <c r="G84" s="1">
        <f t="shared" si="8"/>
        <v>1.1361599994415883E-2</v>
      </c>
      <c r="I84" s="1">
        <f t="shared" si="10"/>
        <v>1.1361599994415883E-2</v>
      </c>
      <c r="P84" s="13">
        <f t="shared" si="4"/>
        <v>1.5152980413162763E-3</v>
      </c>
      <c r="Q84" s="114">
        <f t="shared" si="5"/>
        <v>30922.044999999998</v>
      </c>
      <c r="R84" s="1">
        <f t="shared" si="9"/>
        <v>9.6949662151613118E-5</v>
      </c>
    </row>
    <row r="85" spans="1:18" x14ac:dyDescent="0.2">
      <c r="A85" s="29" t="s">
        <v>71</v>
      </c>
      <c r="B85" s="29"/>
      <c r="C85" s="30">
        <v>45946.540999999997</v>
      </c>
      <c r="D85" s="32"/>
      <c r="E85" s="1">
        <f t="shared" ref="E85:E148" si="11">+(C85-C$7)/C$8</f>
        <v>391.00955152888281</v>
      </c>
      <c r="F85" s="1">
        <f t="shared" ref="F85:F148" si="12">ROUND(2*E85,0)/2</f>
        <v>391</v>
      </c>
      <c r="G85" s="1">
        <f t="shared" ref="G85:G116" si="13">+C85-(C$7+F85*C$8)</f>
        <v>8.1858999983523972E-3</v>
      </c>
      <c r="I85" s="1">
        <f t="shared" si="10"/>
        <v>8.1858999983523972E-3</v>
      </c>
      <c r="P85" s="13">
        <f t="shared" ref="P85:P148" si="14">+D$11+D$12*F85+D$13*F85^2</f>
        <v>1.5420309181852277E-3</v>
      </c>
      <c r="Q85" s="114">
        <f t="shared" ref="Q85:Q148" si="15">+C85-15018.5</f>
        <v>30928.040999999997</v>
      </c>
      <c r="R85" s="1">
        <f t="shared" si="9"/>
        <v>4.4140996354401355E-5</v>
      </c>
    </row>
    <row r="86" spans="1:18" x14ac:dyDescent="0.2">
      <c r="A86" s="29" t="s">
        <v>70</v>
      </c>
      <c r="B86" s="29"/>
      <c r="C86" s="30">
        <v>45994.523000000001</v>
      </c>
      <c r="D86" s="32"/>
      <c r="E86" s="1">
        <f t="shared" si="11"/>
        <v>446.99624316720661</v>
      </c>
      <c r="F86" s="1">
        <f t="shared" si="12"/>
        <v>447</v>
      </c>
      <c r="G86" s="1">
        <f t="shared" si="13"/>
        <v>-3.2197000036831014E-3</v>
      </c>
      <c r="I86" s="1">
        <f t="shared" si="10"/>
        <v>-3.2197000036831014E-3</v>
      </c>
      <c r="P86" s="13">
        <f t="shared" si="14"/>
        <v>1.754749472799027E-3</v>
      </c>
      <c r="Q86" s="114">
        <f t="shared" si="15"/>
        <v>30976.023000000001</v>
      </c>
      <c r="R86" s="1">
        <f t="shared" si="9"/>
        <v>2.4745147594073324E-5</v>
      </c>
    </row>
    <row r="87" spans="1:18" x14ac:dyDescent="0.2">
      <c r="A87" s="33" t="s">
        <v>56</v>
      </c>
      <c r="B87" s="34" t="s">
        <v>57</v>
      </c>
      <c r="C87" s="33">
        <v>46028.743999999999</v>
      </c>
      <c r="D87" s="32"/>
      <c r="E87" s="29">
        <f t="shared" si="11"/>
        <v>486.92622888174134</v>
      </c>
      <c r="F87" s="1">
        <f t="shared" si="12"/>
        <v>487</v>
      </c>
      <c r="G87" s="1">
        <f t="shared" si="13"/>
        <v>-6.3223700002708938E-2</v>
      </c>
      <c r="I87" s="1">
        <f t="shared" si="10"/>
        <v>-6.3223700002708938E-2</v>
      </c>
      <c r="O87" s="1">
        <f ca="1">+C$11+C$12*F87</f>
        <v>2.5839229405895021E-2</v>
      </c>
      <c r="P87" s="13">
        <f t="shared" si="14"/>
        <v>1.9054456264071859E-3</v>
      </c>
      <c r="Q87" s="114">
        <f t="shared" si="15"/>
        <v>31010.243999999999</v>
      </c>
      <c r="R87" s="1">
        <f t="shared" si="9"/>
        <v>4.2418056103786152E-3</v>
      </c>
    </row>
    <row r="88" spans="1:18" x14ac:dyDescent="0.2">
      <c r="A88" s="29" t="s">
        <v>70</v>
      </c>
      <c r="B88" s="29"/>
      <c r="C88" s="30">
        <v>46036.517</v>
      </c>
      <c r="D88" s="32"/>
      <c r="E88" s="1">
        <f t="shared" si="11"/>
        <v>495.9959749136849</v>
      </c>
      <c r="F88" s="1">
        <f t="shared" si="12"/>
        <v>496</v>
      </c>
      <c r="G88" s="1">
        <f t="shared" si="13"/>
        <v>-3.4496000007493421E-3</v>
      </c>
      <c r="I88" s="1">
        <f t="shared" si="10"/>
        <v>-3.4496000007493421E-3</v>
      </c>
      <c r="P88" s="13">
        <f t="shared" si="14"/>
        <v>1.9392092034267953E-3</v>
      </c>
      <c r="Q88" s="114">
        <f t="shared" si="15"/>
        <v>31018.017</v>
      </c>
      <c r="R88" s="1">
        <f t="shared" si="9"/>
        <v>2.9039264639013456E-5</v>
      </c>
    </row>
    <row r="89" spans="1:18" x14ac:dyDescent="0.2">
      <c r="A89" s="29" t="s">
        <v>70</v>
      </c>
      <c r="B89" s="29"/>
      <c r="C89" s="30">
        <v>46036.525999999998</v>
      </c>
      <c r="D89" s="32"/>
      <c r="E89" s="1">
        <f t="shared" si="11"/>
        <v>496.00647635640604</v>
      </c>
      <c r="F89" s="1">
        <f t="shared" si="12"/>
        <v>496</v>
      </c>
      <c r="G89" s="1">
        <f t="shared" si="13"/>
        <v>5.5503999974462204E-3</v>
      </c>
      <c r="I89" s="1">
        <f t="shared" si="10"/>
        <v>5.5503999974462204E-3</v>
      </c>
      <c r="P89" s="13">
        <f t="shared" si="14"/>
        <v>1.9392092034267953E-3</v>
      </c>
      <c r="Q89" s="114">
        <f t="shared" si="15"/>
        <v>31018.025999999998</v>
      </c>
      <c r="R89" s="1">
        <f t="shared" si="9"/>
        <v>1.3040698950810646E-5</v>
      </c>
    </row>
    <row r="90" spans="1:18" x14ac:dyDescent="0.2">
      <c r="A90" s="29" t="s">
        <v>72</v>
      </c>
      <c r="B90" s="29"/>
      <c r="C90" s="30">
        <v>46061.379000000001</v>
      </c>
      <c r="D90" s="31"/>
      <c r="E90" s="1">
        <f t="shared" si="11"/>
        <v>525.00562702305842</v>
      </c>
      <c r="F90" s="1">
        <f t="shared" si="12"/>
        <v>525</v>
      </c>
      <c r="G90" s="1">
        <f t="shared" si="13"/>
        <v>4.8224999991361983E-3</v>
      </c>
      <c r="I90" s="1">
        <f t="shared" si="10"/>
        <v>4.8224999991361983E-3</v>
      </c>
      <c r="P90" s="13">
        <f t="shared" si="14"/>
        <v>2.0476454699422863E-3</v>
      </c>
      <c r="Q90" s="114">
        <f t="shared" si="15"/>
        <v>31042.879000000001</v>
      </c>
      <c r="R90" s="1">
        <f t="shared" si="9"/>
        <v>7.6998176581879666E-6</v>
      </c>
    </row>
    <row r="91" spans="1:18" x14ac:dyDescent="0.2">
      <c r="A91" s="29" t="s">
        <v>69</v>
      </c>
      <c r="B91" s="29"/>
      <c r="C91" s="30">
        <v>46064.379000000001</v>
      </c>
      <c r="D91" s="32"/>
      <c r="E91" s="1">
        <f t="shared" si="11"/>
        <v>528.50610793079375</v>
      </c>
      <c r="F91" s="1">
        <f t="shared" si="12"/>
        <v>528.5</v>
      </c>
      <c r="G91" s="1">
        <f t="shared" si="13"/>
        <v>5.2346500015119091E-3</v>
      </c>
      <c r="I91" s="1">
        <f t="shared" si="10"/>
        <v>5.2346500015119091E-3</v>
      </c>
      <c r="P91" s="13">
        <f t="shared" si="14"/>
        <v>2.0606957057933495E-3</v>
      </c>
      <c r="Q91" s="114">
        <f t="shared" si="15"/>
        <v>31045.879000000001</v>
      </c>
      <c r="R91" s="1">
        <f t="shared" si="9"/>
        <v>1.0073985871310297E-5</v>
      </c>
    </row>
    <row r="92" spans="1:18" x14ac:dyDescent="0.2">
      <c r="A92" s="29" t="s">
        <v>73</v>
      </c>
      <c r="B92" s="29"/>
      <c r="C92" s="30">
        <v>46091.38</v>
      </c>
      <c r="D92" s="32"/>
      <c r="E92" s="1">
        <f t="shared" si="11"/>
        <v>560.01160292737734</v>
      </c>
      <c r="F92" s="1">
        <f t="shared" si="12"/>
        <v>560</v>
      </c>
      <c r="G92" s="1">
        <f t="shared" si="13"/>
        <v>9.943999997631181E-3</v>
      </c>
      <c r="I92" s="1">
        <f t="shared" si="10"/>
        <v>9.943999997631181E-3</v>
      </c>
      <c r="P92" s="13">
        <f t="shared" si="14"/>
        <v>2.1777901845973485E-3</v>
      </c>
      <c r="Q92" s="114">
        <f t="shared" si="15"/>
        <v>31072.879999999997</v>
      </c>
      <c r="R92" s="1">
        <f t="shared" si="9"/>
        <v>6.0314014860062995E-5</v>
      </c>
    </row>
    <row r="93" spans="1:18" x14ac:dyDescent="0.2">
      <c r="A93" s="29" t="s">
        <v>74</v>
      </c>
      <c r="B93" s="29"/>
      <c r="C93" s="30">
        <v>46109.381000000001</v>
      </c>
      <c r="D93" s="31"/>
      <c r="E93" s="1">
        <f t="shared" si="11"/>
        <v>581.01565520076338</v>
      </c>
      <c r="F93" s="1">
        <f t="shared" si="12"/>
        <v>581</v>
      </c>
      <c r="G93" s="1">
        <f t="shared" si="13"/>
        <v>1.3416900001175236E-2</v>
      </c>
      <c r="I93" s="1">
        <f t="shared" si="10"/>
        <v>1.3416900001175236E-2</v>
      </c>
      <c r="P93" s="13">
        <f t="shared" si="14"/>
        <v>2.255495526611116E-3</v>
      </c>
      <c r="Q93" s="114">
        <f t="shared" si="15"/>
        <v>31090.881000000001</v>
      </c>
      <c r="R93" s="1">
        <f t="shared" si="9"/>
        <v>1.2457694984481998E-4</v>
      </c>
    </row>
    <row r="94" spans="1:18" x14ac:dyDescent="0.2">
      <c r="A94" s="29" t="s">
        <v>73</v>
      </c>
      <c r="B94" s="29"/>
      <c r="C94" s="30">
        <v>46115.37</v>
      </c>
      <c r="D94" s="32"/>
      <c r="E94" s="1">
        <f t="shared" si="11"/>
        <v>588.00378191957407</v>
      </c>
      <c r="F94" s="1">
        <f t="shared" si="12"/>
        <v>588</v>
      </c>
      <c r="G94" s="1">
        <f t="shared" si="13"/>
        <v>3.2412000000476837E-3</v>
      </c>
      <c r="I94" s="1">
        <f t="shared" si="10"/>
        <v>3.2412000000476837E-3</v>
      </c>
      <c r="P94" s="13">
        <f t="shared" si="14"/>
        <v>2.2813337261524936E-3</v>
      </c>
      <c r="Q94" s="114">
        <f t="shared" si="15"/>
        <v>31096.870000000003</v>
      </c>
      <c r="R94" s="1">
        <f t="shared" si="9"/>
        <v>9.2134326376143613E-7</v>
      </c>
    </row>
    <row r="95" spans="1:18" x14ac:dyDescent="0.2">
      <c r="A95" s="29" t="s">
        <v>74</v>
      </c>
      <c r="B95" s="29"/>
      <c r="C95" s="30">
        <v>46121.358999999997</v>
      </c>
      <c r="D95" s="31"/>
      <c r="E95" s="1">
        <f t="shared" si="11"/>
        <v>594.99190863837623</v>
      </c>
      <c r="F95" s="1">
        <f t="shared" si="12"/>
        <v>595</v>
      </c>
      <c r="G95" s="1">
        <f t="shared" si="13"/>
        <v>-6.9345000083558261E-3</v>
      </c>
      <c r="I95" s="1">
        <f t="shared" si="10"/>
        <v>-6.9345000083558261E-3</v>
      </c>
      <c r="P95" s="13">
        <f t="shared" si="14"/>
        <v>2.3071401351289311E-3</v>
      </c>
      <c r="Q95" s="114">
        <f t="shared" si="15"/>
        <v>31102.858999999997</v>
      </c>
      <c r="R95" s="1">
        <f t="shared" si="9"/>
        <v>8.5407912541668969E-5</v>
      </c>
    </row>
    <row r="96" spans="1:18" x14ac:dyDescent="0.2">
      <c r="A96" s="29" t="s">
        <v>73</v>
      </c>
      <c r="B96" s="29"/>
      <c r="C96" s="30">
        <v>46121.38</v>
      </c>
      <c r="D96" s="32"/>
      <c r="E96" s="1">
        <f t="shared" si="11"/>
        <v>595.01641200473114</v>
      </c>
      <c r="F96" s="1">
        <f t="shared" si="12"/>
        <v>595</v>
      </c>
      <c r="G96" s="1">
        <f t="shared" si="13"/>
        <v>1.4065499992284458E-2</v>
      </c>
      <c r="I96" s="1">
        <f t="shared" si="10"/>
        <v>1.4065499992284458E-2</v>
      </c>
      <c r="P96" s="13">
        <f t="shared" si="14"/>
        <v>2.3071401351289311E-3</v>
      </c>
      <c r="Q96" s="114">
        <f t="shared" si="15"/>
        <v>31102.879999999997</v>
      </c>
      <c r="R96" s="1">
        <f t="shared" si="9"/>
        <v>1.3825902653036653E-4</v>
      </c>
    </row>
    <row r="97" spans="1:18" x14ac:dyDescent="0.2">
      <c r="A97" s="29" t="s">
        <v>75</v>
      </c>
      <c r="B97" s="29"/>
      <c r="C97" s="30">
        <v>46270.5</v>
      </c>
      <c r="D97" s="32"/>
      <c r="E97" s="1">
        <f t="shared" si="11"/>
        <v>769.01364965856715</v>
      </c>
      <c r="F97" s="1">
        <f t="shared" si="12"/>
        <v>769</v>
      </c>
      <c r="G97" s="1">
        <f t="shared" si="13"/>
        <v>1.1698099995555822E-2</v>
      </c>
      <c r="I97" s="1">
        <f t="shared" si="10"/>
        <v>1.1698099995555822E-2</v>
      </c>
      <c r="P97" s="13">
        <f t="shared" si="14"/>
        <v>2.9383972801739233E-3</v>
      </c>
      <c r="Q97" s="114">
        <f t="shared" si="15"/>
        <v>31252</v>
      </c>
      <c r="R97" s="1">
        <f t="shared" si="9"/>
        <v>7.6732391661869017E-5</v>
      </c>
    </row>
    <row r="98" spans="1:18" x14ac:dyDescent="0.2">
      <c r="A98" s="29" t="s">
        <v>70</v>
      </c>
      <c r="B98" s="29"/>
      <c r="C98" s="30">
        <v>46294.472999999998</v>
      </c>
      <c r="D98" s="32"/>
      <c r="E98" s="1">
        <f t="shared" si="11"/>
        <v>796.98599259227842</v>
      </c>
      <c r="F98" s="1">
        <f t="shared" si="12"/>
        <v>797</v>
      </c>
      <c r="G98" s="1">
        <f t="shared" si="13"/>
        <v>-1.2004700001853053E-2</v>
      </c>
      <c r="I98" s="1">
        <f t="shared" si="10"/>
        <v>-1.2004700001853053E-2</v>
      </c>
      <c r="P98" s="13">
        <f t="shared" si="14"/>
        <v>3.0381441199734752E-3</v>
      </c>
      <c r="Q98" s="114">
        <f t="shared" si="15"/>
        <v>31275.972999999998</v>
      </c>
      <c r="R98" s="1">
        <f t="shared" ref="R98:R129" si="16">+(P98-G98)^2</f>
        <v>2.2628715927357091E-4</v>
      </c>
    </row>
    <row r="99" spans="1:18" x14ac:dyDescent="0.2">
      <c r="A99" s="33" t="s">
        <v>76</v>
      </c>
      <c r="B99" s="34" t="s">
        <v>57</v>
      </c>
      <c r="C99" s="33">
        <v>46294.474000000002</v>
      </c>
      <c r="D99" s="32"/>
      <c r="E99" s="29">
        <f t="shared" si="11"/>
        <v>796.98715941925207</v>
      </c>
      <c r="F99" s="1">
        <f t="shared" si="12"/>
        <v>797</v>
      </c>
      <c r="G99" s="1">
        <f t="shared" si="13"/>
        <v>-1.1004699998011347E-2</v>
      </c>
      <c r="I99" s="1">
        <f t="shared" si="10"/>
        <v>-1.1004699998011347E-2</v>
      </c>
      <c r="O99" s="1">
        <f ca="1">+C$11+C$12*F99</f>
        <v>2.540369554232327E-2</v>
      </c>
      <c r="P99" s="13">
        <f t="shared" si="14"/>
        <v>3.0381441199734752E-3</v>
      </c>
      <c r="Q99" s="114">
        <f t="shared" si="15"/>
        <v>31275.974000000002</v>
      </c>
      <c r="R99" s="1">
        <f t="shared" si="16"/>
        <v>1.9720147092202093E-4</v>
      </c>
    </row>
    <row r="100" spans="1:18" x14ac:dyDescent="0.2">
      <c r="A100" s="33" t="s">
        <v>76</v>
      </c>
      <c r="B100" s="34" t="s">
        <v>57</v>
      </c>
      <c r="C100" s="33">
        <v>46294.483</v>
      </c>
      <c r="D100" s="32"/>
      <c r="E100" s="29">
        <f t="shared" si="11"/>
        <v>796.99766086197326</v>
      </c>
      <c r="F100" s="1">
        <f t="shared" si="12"/>
        <v>797</v>
      </c>
      <c r="G100" s="1">
        <f t="shared" si="13"/>
        <v>-2.0046999998157844E-3</v>
      </c>
      <c r="I100" s="1">
        <f t="shared" ref="I100:I131" si="17">G100</f>
        <v>-2.0046999998157844E-3</v>
      </c>
      <c r="O100" s="1">
        <f ca="1">+C$11+C$12*F100</f>
        <v>2.540369554232327E-2</v>
      </c>
      <c r="P100" s="13">
        <f t="shared" si="14"/>
        <v>3.0381441199734752E-3</v>
      </c>
      <c r="Q100" s="114">
        <f t="shared" si="15"/>
        <v>31275.983</v>
      </c>
      <c r="R100" s="1">
        <f t="shared" si="16"/>
        <v>2.543027681649311E-5</v>
      </c>
    </row>
    <row r="101" spans="1:18" x14ac:dyDescent="0.2">
      <c r="A101" s="33" t="s">
        <v>76</v>
      </c>
      <c r="B101" s="34" t="s">
        <v>57</v>
      </c>
      <c r="C101" s="33">
        <v>46294.483</v>
      </c>
      <c r="D101" s="32"/>
      <c r="E101" s="29">
        <f t="shared" si="11"/>
        <v>796.99766086197326</v>
      </c>
      <c r="F101" s="1">
        <f t="shared" si="12"/>
        <v>797</v>
      </c>
      <c r="G101" s="1">
        <f t="shared" si="13"/>
        <v>-2.0046999998157844E-3</v>
      </c>
      <c r="I101" s="1">
        <f t="shared" si="17"/>
        <v>-2.0046999998157844E-3</v>
      </c>
      <c r="O101" s="1">
        <f ca="1">+C$11+C$12*F101</f>
        <v>2.540369554232327E-2</v>
      </c>
      <c r="P101" s="13">
        <f t="shared" si="14"/>
        <v>3.0381441199734752E-3</v>
      </c>
      <c r="Q101" s="114">
        <f t="shared" si="15"/>
        <v>31275.983</v>
      </c>
      <c r="R101" s="1">
        <f t="shared" si="16"/>
        <v>2.543027681649311E-5</v>
      </c>
    </row>
    <row r="102" spans="1:18" x14ac:dyDescent="0.2">
      <c r="A102" s="29" t="s">
        <v>70</v>
      </c>
      <c r="B102" s="29"/>
      <c r="C102" s="30">
        <v>46294.483999999997</v>
      </c>
      <c r="D102" s="32"/>
      <c r="E102" s="1">
        <f t="shared" si="11"/>
        <v>796.99882768893849</v>
      </c>
      <c r="F102" s="1">
        <f t="shared" si="12"/>
        <v>797</v>
      </c>
      <c r="G102" s="1">
        <f t="shared" si="13"/>
        <v>-1.0047000032500364E-3</v>
      </c>
      <c r="I102" s="1">
        <f t="shared" si="17"/>
        <v>-1.0047000032500364E-3</v>
      </c>
      <c r="P102" s="13">
        <f t="shared" si="14"/>
        <v>3.0381441199734752E-3</v>
      </c>
      <c r="Q102" s="114">
        <f t="shared" si="15"/>
        <v>31275.983999999997</v>
      </c>
      <c r="R102" s="1">
        <f t="shared" si="16"/>
        <v>1.6344588604682886E-5</v>
      </c>
    </row>
    <row r="103" spans="1:18" x14ac:dyDescent="0.2">
      <c r="A103" s="29" t="s">
        <v>77</v>
      </c>
      <c r="B103" s="29"/>
      <c r="C103" s="30">
        <v>46349.353000000003</v>
      </c>
      <c r="D103" s="32"/>
      <c r="E103" s="1">
        <f t="shared" si="11"/>
        <v>861.02145666445631</v>
      </c>
      <c r="F103" s="1">
        <f t="shared" si="12"/>
        <v>861</v>
      </c>
      <c r="G103" s="1">
        <f t="shared" si="13"/>
        <v>1.8388900003628805E-2</v>
      </c>
      <c r="I103" s="1">
        <f t="shared" si="17"/>
        <v>1.8388900003628805E-2</v>
      </c>
      <c r="P103" s="13">
        <f t="shared" si="14"/>
        <v>3.2642268676136574E-3</v>
      </c>
      <c r="Q103" s="114">
        <f t="shared" si="15"/>
        <v>31330.853000000003</v>
      </c>
      <c r="R103" s="1">
        <f t="shared" si="16"/>
        <v>2.287557374712983E-4</v>
      </c>
    </row>
    <row r="104" spans="1:18" x14ac:dyDescent="0.2">
      <c r="A104" s="29" t="s">
        <v>78</v>
      </c>
      <c r="B104" s="29"/>
      <c r="C104" s="30">
        <v>46355.34</v>
      </c>
      <c r="D104" s="32"/>
      <c r="E104" s="1">
        <f t="shared" si="11"/>
        <v>868.00724972931948</v>
      </c>
      <c r="F104" s="1">
        <f t="shared" si="12"/>
        <v>868</v>
      </c>
      <c r="G104" s="1">
        <f t="shared" si="13"/>
        <v>6.2131999948178418E-3</v>
      </c>
      <c r="I104" s="1">
        <f t="shared" si="17"/>
        <v>6.2131999948178418E-3</v>
      </c>
      <c r="P104" s="13">
        <f t="shared" si="14"/>
        <v>3.2887934445574676E-3</v>
      </c>
      <c r="Q104" s="114">
        <f t="shared" si="15"/>
        <v>31336.839999999997</v>
      </c>
      <c r="R104" s="1">
        <f t="shared" si="16"/>
        <v>8.5521536712057826E-6</v>
      </c>
    </row>
    <row r="105" spans="1:18" x14ac:dyDescent="0.2">
      <c r="A105" s="29" t="s">
        <v>77</v>
      </c>
      <c r="B105" s="29"/>
      <c r="C105" s="30">
        <v>46373.332000000002</v>
      </c>
      <c r="D105" s="32"/>
      <c r="E105" s="1">
        <f t="shared" si="11"/>
        <v>889.00080055998433</v>
      </c>
      <c r="F105" s="1">
        <f t="shared" si="12"/>
        <v>889</v>
      </c>
      <c r="G105" s="1">
        <f t="shared" si="13"/>
        <v>6.8610000016633421E-4</v>
      </c>
      <c r="I105" s="1">
        <f t="shared" si="17"/>
        <v>6.8610000016633421E-4</v>
      </c>
      <c r="P105" s="13">
        <f t="shared" si="14"/>
        <v>3.3623024319992642E-3</v>
      </c>
      <c r="Q105" s="114">
        <f t="shared" si="15"/>
        <v>31354.832000000002</v>
      </c>
      <c r="R105" s="1">
        <f t="shared" si="16"/>
        <v>7.1620594561484882E-6</v>
      </c>
    </row>
    <row r="106" spans="1:18" x14ac:dyDescent="0.2">
      <c r="A106" s="29" t="s">
        <v>79</v>
      </c>
      <c r="B106" s="29"/>
      <c r="C106" s="30">
        <v>46373.337</v>
      </c>
      <c r="D106" s="32"/>
      <c r="E106" s="1">
        <f t="shared" si="11"/>
        <v>889.00663469482754</v>
      </c>
      <c r="F106" s="1">
        <f t="shared" si="12"/>
        <v>889</v>
      </c>
      <c r="G106" s="1">
        <f t="shared" si="13"/>
        <v>5.6860999975469895E-3</v>
      </c>
      <c r="I106" s="1">
        <f t="shared" si="17"/>
        <v>5.6860999975469895E-3</v>
      </c>
      <c r="P106" s="13">
        <f t="shared" si="14"/>
        <v>3.3623024319992642E-3</v>
      </c>
      <c r="Q106" s="114">
        <f t="shared" si="15"/>
        <v>31354.837</v>
      </c>
      <c r="R106" s="1">
        <f t="shared" si="16"/>
        <v>5.4000351256455342E-6</v>
      </c>
    </row>
    <row r="107" spans="1:18" x14ac:dyDescent="0.2">
      <c r="A107" s="29" t="s">
        <v>77</v>
      </c>
      <c r="B107" s="29"/>
      <c r="C107" s="30">
        <v>46403.328999999998</v>
      </c>
      <c r="D107" s="32"/>
      <c r="E107" s="1">
        <f t="shared" si="11"/>
        <v>924.00210915642538</v>
      </c>
      <c r="F107" s="1">
        <f t="shared" si="12"/>
        <v>924</v>
      </c>
      <c r="G107" s="1">
        <f t="shared" si="13"/>
        <v>1.8075999978464097E-3</v>
      </c>
      <c r="I107" s="1">
        <f t="shared" si="17"/>
        <v>1.8075999978464097E-3</v>
      </c>
      <c r="P107" s="13">
        <f t="shared" si="14"/>
        <v>3.4841815997701418E-3</v>
      </c>
      <c r="Q107" s="114">
        <f t="shared" si="15"/>
        <v>31384.828999999998</v>
      </c>
      <c r="R107" s="1">
        <f t="shared" si="16"/>
        <v>2.8109258679091475E-6</v>
      </c>
    </row>
    <row r="108" spans="1:18" x14ac:dyDescent="0.2">
      <c r="A108" s="29" t="s">
        <v>74</v>
      </c>
      <c r="B108" s="29"/>
      <c r="C108" s="30">
        <v>46457.31</v>
      </c>
      <c r="D108" s="31"/>
      <c r="E108" s="1">
        <f t="shared" si="11"/>
        <v>986.98859578324618</v>
      </c>
      <c r="F108" s="1">
        <f t="shared" si="12"/>
        <v>987</v>
      </c>
      <c r="G108" s="1">
        <f t="shared" si="13"/>
        <v>-9.773700003279373E-3</v>
      </c>
      <c r="I108" s="1">
        <f t="shared" si="17"/>
        <v>-9.773700003279373E-3</v>
      </c>
      <c r="P108" s="13">
        <f t="shared" si="14"/>
        <v>3.701561296166553E-3</v>
      </c>
      <c r="Q108" s="114">
        <f t="shared" si="15"/>
        <v>31438.809999999998</v>
      </c>
      <c r="R108" s="1">
        <f t="shared" si="16"/>
        <v>1.8158266708834508E-4</v>
      </c>
    </row>
    <row r="109" spans="1:18" x14ac:dyDescent="0.2">
      <c r="A109" s="29" t="s">
        <v>80</v>
      </c>
      <c r="B109" s="29"/>
      <c r="C109" s="30">
        <v>46672.43</v>
      </c>
      <c r="D109" s="30"/>
      <c r="E109" s="1">
        <f t="shared" si="11"/>
        <v>1237.9964134072604</v>
      </c>
      <c r="F109" s="1">
        <f t="shared" si="12"/>
        <v>1238</v>
      </c>
      <c r="G109" s="1">
        <f t="shared" si="13"/>
        <v>-3.0737999986740761E-3</v>
      </c>
      <c r="I109" s="1">
        <f t="shared" si="17"/>
        <v>-3.0737999986740761E-3</v>
      </c>
      <c r="P109" s="13">
        <f t="shared" si="14"/>
        <v>4.5420628595122976E-3</v>
      </c>
      <c r="Q109" s="114">
        <f t="shared" si="15"/>
        <v>31653.93</v>
      </c>
      <c r="R109" s="1">
        <f t="shared" si="16"/>
        <v>5.8001367074702722E-5</v>
      </c>
    </row>
    <row r="110" spans="1:18" x14ac:dyDescent="0.2">
      <c r="A110" s="29" t="s">
        <v>74</v>
      </c>
      <c r="B110" s="29"/>
      <c r="C110" s="30">
        <v>46684.438000000002</v>
      </c>
      <c r="D110" s="35"/>
      <c r="E110" s="1">
        <f t="shared" si="11"/>
        <v>1252.0076716539579</v>
      </c>
      <c r="F110" s="1">
        <f t="shared" si="12"/>
        <v>1252</v>
      </c>
      <c r="G110" s="1">
        <f t="shared" si="13"/>
        <v>6.5747999979066662E-3</v>
      </c>
      <c r="I110" s="1">
        <f t="shared" si="17"/>
        <v>6.5747999979066662E-3</v>
      </c>
      <c r="P110" s="13">
        <f t="shared" si="14"/>
        <v>4.5877399248401033E-3</v>
      </c>
      <c r="Q110" s="114">
        <f t="shared" si="15"/>
        <v>31665.938000000002</v>
      </c>
      <c r="R110" s="1">
        <f t="shared" si="16"/>
        <v>3.9484077339752942E-6</v>
      </c>
    </row>
    <row r="111" spans="1:18" x14ac:dyDescent="0.2">
      <c r="A111" s="1" t="s">
        <v>81</v>
      </c>
      <c r="C111" s="32">
        <v>46708.440999999999</v>
      </c>
      <c r="D111" s="32"/>
      <c r="E111" s="1">
        <f t="shared" si="11"/>
        <v>1280.0150193967452</v>
      </c>
      <c r="F111" s="1">
        <f t="shared" si="12"/>
        <v>1280</v>
      </c>
      <c r="G111" s="1">
        <f t="shared" si="13"/>
        <v>1.2871999999333639E-2</v>
      </c>
      <c r="I111" s="1">
        <f t="shared" si="17"/>
        <v>1.2871999999333639E-2</v>
      </c>
      <c r="P111" s="13">
        <f t="shared" si="14"/>
        <v>4.6787125687164435E-3</v>
      </c>
      <c r="Q111" s="114">
        <f t="shared" si="15"/>
        <v>31689.940999999999</v>
      </c>
      <c r="R111" s="1">
        <f t="shared" si="16"/>
        <v>6.7129958920709724E-5</v>
      </c>
    </row>
    <row r="112" spans="1:18" x14ac:dyDescent="0.2">
      <c r="A112" s="1" t="s">
        <v>82</v>
      </c>
      <c r="C112" s="32">
        <v>46762.428999999996</v>
      </c>
      <c r="D112" s="32"/>
      <c r="E112" s="1">
        <f t="shared" si="11"/>
        <v>1343.009673812348</v>
      </c>
      <c r="F112" s="1">
        <f t="shared" si="12"/>
        <v>1343</v>
      </c>
      <c r="G112" s="1">
        <f t="shared" si="13"/>
        <v>8.2906999959959649E-3</v>
      </c>
      <c r="I112" s="1">
        <f t="shared" si="17"/>
        <v>8.2906999959959649E-3</v>
      </c>
      <c r="P112" s="13">
        <f t="shared" si="14"/>
        <v>4.8815412693892684E-3</v>
      </c>
      <c r="Q112" s="114">
        <f t="shared" si="15"/>
        <v>31743.928999999996</v>
      </c>
      <c r="R112" s="1">
        <f t="shared" si="16"/>
        <v>1.1622363223198592E-5</v>
      </c>
    </row>
    <row r="113" spans="1:18" x14ac:dyDescent="0.2">
      <c r="A113" s="1" t="s">
        <v>83</v>
      </c>
      <c r="C113" s="32">
        <v>46817.271999999997</v>
      </c>
      <c r="D113" s="32"/>
      <c r="E113" s="1">
        <f t="shared" si="11"/>
        <v>1407.0019652866592</v>
      </c>
      <c r="F113" s="1">
        <f t="shared" si="12"/>
        <v>1407</v>
      </c>
      <c r="G113" s="1">
        <f t="shared" si="13"/>
        <v>1.6842999975779094E-3</v>
      </c>
      <c r="I113" s="1">
        <f t="shared" si="17"/>
        <v>1.6842999975779094E-3</v>
      </c>
      <c r="P113" s="13">
        <f t="shared" si="14"/>
        <v>5.0849528027185438E-3</v>
      </c>
      <c r="Q113" s="114">
        <f t="shared" si="15"/>
        <v>31798.771999999997</v>
      </c>
      <c r="R113" s="1">
        <f t="shared" si="16"/>
        <v>1.1564439501110865E-5</v>
      </c>
    </row>
    <row r="114" spans="1:18" x14ac:dyDescent="0.2">
      <c r="A114" s="1" t="s">
        <v>84</v>
      </c>
      <c r="C114" s="32">
        <v>47025.517</v>
      </c>
      <c r="D114" s="32"/>
      <c r="E114" s="1">
        <f t="shared" si="11"/>
        <v>1649.9878474971133</v>
      </c>
      <c r="F114" s="1">
        <f t="shared" si="12"/>
        <v>1650</v>
      </c>
      <c r="G114" s="1">
        <f t="shared" si="13"/>
        <v>-1.0415000004286412E-2</v>
      </c>
      <c r="I114" s="1">
        <f t="shared" si="17"/>
        <v>-1.0415000004286412E-2</v>
      </c>
      <c r="P114" s="13">
        <f t="shared" si="14"/>
        <v>5.8330808873584706E-3</v>
      </c>
      <c r="Q114" s="114">
        <f t="shared" si="15"/>
        <v>32007.017</v>
      </c>
      <c r="R114" s="1">
        <f t="shared" si="16"/>
        <v>2.6400013266143551E-4</v>
      </c>
    </row>
    <row r="115" spans="1:18" x14ac:dyDescent="0.2">
      <c r="A115" s="1" t="s">
        <v>84</v>
      </c>
      <c r="C115" s="32">
        <v>47025.521999999997</v>
      </c>
      <c r="D115" s="32"/>
      <c r="E115" s="1">
        <f t="shared" si="11"/>
        <v>1649.9936816319566</v>
      </c>
      <c r="F115" s="1">
        <f t="shared" si="12"/>
        <v>1650</v>
      </c>
      <c r="G115" s="1">
        <f t="shared" si="13"/>
        <v>-5.4150000069057569E-3</v>
      </c>
      <c r="I115" s="1">
        <f t="shared" si="17"/>
        <v>-5.4150000069057569E-3</v>
      </c>
      <c r="P115" s="13">
        <f t="shared" si="14"/>
        <v>5.8330808873584706E-3</v>
      </c>
      <c r="Q115" s="114">
        <f t="shared" si="15"/>
        <v>32007.021999999997</v>
      </c>
      <c r="R115" s="1">
        <f t="shared" si="16"/>
        <v>1.2651932380391195E-4</v>
      </c>
    </row>
    <row r="116" spans="1:18" x14ac:dyDescent="0.2">
      <c r="A116" s="1" t="s">
        <v>84</v>
      </c>
      <c r="C116" s="32">
        <v>47031.525999999998</v>
      </c>
      <c r="D116" s="32"/>
      <c r="E116" s="1">
        <f t="shared" si="11"/>
        <v>1656.9993107553053</v>
      </c>
      <c r="F116" s="1">
        <f t="shared" si="12"/>
        <v>1657</v>
      </c>
      <c r="G116" s="1">
        <f t="shared" si="13"/>
        <v>-5.9070000133942813E-4</v>
      </c>
      <c r="I116" s="1">
        <f t="shared" si="17"/>
        <v>-5.9070000133942813E-4</v>
      </c>
      <c r="P116" s="13">
        <f t="shared" si="14"/>
        <v>5.8540642134827089E-3</v>
      </c>
      <c r="Q116" s="114">
        <f t="shared" si="15"/>
        <v>32013.025999999998</v>
      </c>
      <c r="R116" s="1">
        <f t="shared" si="16"/>
        <v>4.1534985784651993E-5</v>
      </c>
    </row>
    <row r="117" spans="1:18" x14ac:dyDescent="0.2">
      <c r="A117" s="1" t="s">
        <v>84</v>
      </c>
      <c r="C117" s="32">
        <v>47031.527000000002</v>
      </c>
      <c r="D117" s="32"/>
      <c r="E117" s="1">
        <f t="shared" si="11"/>
        <v>1657.000477582279</v>
      </c>
      <c r="F117" s="1">
        <f t="shared" si="12"/>
        <v>1657</v>
      </c>
      <c r="G117" s="1">
        <f t="shared" ref="G117:G148" si="18">+C117-(C$7+F117*C$8)</f>
        <v>4.0930000250227749E-4</v>
      </c>
      <c r="I117" s="1">
        <f t="shared" si="17"/>
        <v>4.0930000250227749E-4</v>
      </c>
      <c r="P117" s="13">
        <f t="shared" si="14"/>
        <v>5.8540642134827089E-3</v>
      </c>
      <c r="Q117" s="114">
        <f t="shared" si="15"/>
        <v>32013.027000000002</v>
      </c>
      <c r="R117" s="1">
        <f t="shared" si="16"/>
        <v>2.9645457313173361E-5</v>
      </c>
    </row>
    <row r="118" spans="1:18" x14ac:dyDescent="0.2">
      <c r="A118" s="1" t="s">
        <v>84</v>
      </c>
      <c r="C118" s="32">
        <v>47031.536</v>
      </c>
      <c r="D118" s="32"/>
      <c r="E118" s="1">
        <f t="shared" si="11"/>
        <v>1657.0109790250001</v>
      </c>
      <c r="F118" s="1">
        <f t="shared" si="12"/>
        <v>1657</v>
      </c>
      <c r="G118" s="1">
        <f t="shared" si="18"/>
        <v>9.40930000069784E-3</v>
      </c>
      <c r="I118" s="1">
        <f t="shared" si="17"/>
        <v>9.40930000069784E-3</v>
      </c>
      <c r="P118" s="13">
        <f t="shared" si="14"/>
        <v>5.8540642134827089E-3</v>
      </c>
      <c r="Q118" s="114">
        <f t="shared" si="15"/>
        <v>32013.036</v>
      </c>
      <c r="R118" s="1">
        <f t="shared" si="16"/>
        <v>1.2639701502695192E-5</v>
      </c>
    </row>
    <row r="119" spans="1:18" x14ac:dyDescent="0.2">
      <c r="A119" s="1" t="s">
        <v>85</v>
      </c>
      <c r="C119" s="32">
        <v>47068.385000000002</v>
      </c>
      <c r="D119" s="32"/>
      <c r="E119" s="1">
        <f t="shared" si="11"/>
        <v>1700.0073860147161</v>
      </c>
      <c r="F119" s="1">
        <f t="shared" si="12"/>
        <v>1700</v>
      </c>
      <c r="G119" s="1">
        <f t="shared" si="18"/>
        <v>6.3300000037997961E-3</v>
      </c>
      <c r="I119" s="1">
        <f t="shared" si="17"/>
        <v>6.3300000037997961E-3</v>
      </c>
      <c r="P119" s="13">
        <f t="shared" si="14"/>
        <v>5.9822643421783422E-3</v>
      </c>
      <c r="Q119" s="114">
        <f t="shared" si="15"/>
        <v>32049.885000000002</v>
      </c>
      <c r="R119" s="1">
        <f t="shared" si="16"/>
        <v>1.2092009036331025E-7</v>
      </c>
    </row>
    <row r="120" spans="1:18" x14ac:dyDescent="0.2">
      <c r="A120" s="1" t="s">
        <v>85</v>
      </c>
      <c r="C120" s="32">
        <v>47092.362000000001</v>
      </c>
      <c r="D120" s="32"/>
      <c r="E120" s="1">
        <f t="shared" si="11"/>
        <v>1727.984396256305</v>
      </c>
      <c r="F120" s="1">
        <f t="shared" si="12"/>
        <v>1728</v>
      </c>
      <c r="G120" s="1">
        <f t="shared" si="18"/>
        <v>-1.3372800000070129E-2</v>
      </c>
      <c r="I120" s="1">
        <f t="shared" si="17"/>
        <v>-1.3372800000070129E-2</v>
      </c>
      <c r="P120" s="13">
        <f t="shared" si="14"/>
        <v>6.065098601430256E-3</v>
      </c>
      <c r="Q120" s="114">
        <f t="shared" si="15"/>
        <v>32073.862000000001</v>
      </c>
      <c r="R120" s="1">
        <f t="shared" si="16"/>
        <v>3.778319020422107E-4</v>
      </c>
    </row>
    <row r="121" spans="1:18" x14ac:dyDescent="0.2">
      <c r="A121" s="1" t="s">
        <v>86</v>
      </c>
      <c r="C121" s="32">
        <v>47128.381999999998</v>
      </c>
      <c r="D121" s="32"/>
      <c r="E121" s="1">
        <f t="shared" si="11"/>
        <v>1770.0135036885108</v>
      </c>
      <c r="F121" s="1">
        <f t="shared" si="12"/>
        <v>1770</v>
      </c>
      <c r="G121" s="1">
        <f t="shared" si="18"/>
        <v>1.1572999996133149E-2</v>
      </c>
      <c r="I121" s="1">
        <f t="shared" si="17"/>
        <v>1.1572999996133149E-2</v>
      </c>
      <c r="P121" s="13">
        <f t="shared" si="14"/>
        <v>6.1883962733599489E-3</v>
      </c>
      <c r="Q121" s="114">
        <f t="shared" si="15"/>
        <v>32109.881999999998</v>
      </c>
      <c r="R121" s="1">
        <f t="shared" si="16"/>
        <v>2.8993957251303003E-5</v>
      </c>
    </row>
    <row r="122" spans="1:18" x14ac:dyDescent="0.2">
      <c r="A122" s="1" t="s">
        <v>87</v>
      </c>
      <c r="C122" s="32">
        <v>47159.235999999997</v>
      </c>
      <c r="D122" s="32"/>
      <c r="E122" s="1">
        <f t="shared" si="11"/>
        <v>1806.014782997599</v>
      </c>
      <c r="F122" s="1">
        <f t="shared" si="12"/>
        <v>1806</v>
      </c>
      <c r="G122" s="1">
        <f t="shared" si="18"/>
        <v>1.2669399999140296E-2</v>
      </c>
      <c r="I122" s="1">
        <f t="shared" si="17"/>
        <v>1.2669399999140296E-2</v>
      </c>
      <c r="P122" s="13">
        <f t="shared" si="14"/>
        <v>6.2931690951532667E-3</v>
      </c>
      <c r="Q122" s="114">
        <f t="shared" si="15"/>
        <v>32140.735999999997</v>
      </c>
      <c r="R122" s="1">
        <f t="shared" si="16"/>
        <v>4.0656320540959252E-5</v>
      </c>
    </row>
    <row r="123" spans="1:18" x14ac:dyDescent="0.2">
      <c r="A123" s="1" t="s">
        <v>87</v>
      </c>
      <c r="C123" s="32">
        <v>47170.379000000001</v>
      </c>
      <c r="D123" s="32"/>
      <c r="E123" s="1">
        <f t="shared" si="11"/>
        <v>1819.0167359159018</v>
      </c>
      <c r="F123" s="1">
        <f t="shared" si="12"/>
        <v>1819</v>
      </c>
      <c r="G123" s="1">
        <f t="shared" si="18"/>
        <v>1.434309999604011E-2</v>
      </c>
      <c r="I123" s="1">
        <f t="shared" si="17"/>
        <v>1.434309999604011E-2</v>
      </c>
      <c r="P123" s="13">
        <f t="shared" si="14"/>
        <v>6.330797086573193E-3</v>
      </c>
      <c r="Q123" s="114">
        <f t="shared" si="15"/>
        <v>32151.879000000001</v>
      </c>
      <c r="R123" s="1">
        <f t="shared" si="16"/>
        <v>6.4196997913052031E-5</v>
      </c>
    </row>
    <row r="124" spans="1:18" x14ac:dyDescent="0.2">
      <c r="A124" s="1" t="s">
        <v>87</v>
      </c>
      <c r="C124" s="32">
        <v>47206.372000000003</v>
      </c>
      <c r="D124" s="32"/>
      <c r="E124" s="1">
        <f t="shared" si="11"/>
        <v>1861.0143390199441</v>
      </c>
      <c r="F124" s="1">
        <f t="shared" si="12"/>
        <v>1861</v>
      </c>
      <c r="G124" s="1">
        <f t="shared" si="18"/>
        <v>1.2288900004932657E-2</v>
      </c>
      <c r="I124" s="1">
        <f t="shared" si="17"/>
        <v>1.2288900004932657E-2</v>
      </c>
      <c r="P124" s="13">
        <f t="shared" si="14"/>
        <v>6.4516150944376313E-3</v>
      </c>
      <c r="Q124" s="114">
        <f t="shared" si="15"/>
        <v>32187.872000000003</v>
      </c>
      <c r="R124" s="1">
        <f t="shared" si="16"/>
        <v>3.4073895126292916E-5</v>
      </c>
    </row>
    <row r="125" spans="1:18" x14ac:dyDescent="0.2">
      <c r="A125" s="1" t="s">
        <v>87</v>
      </c>
      <c r="C125" s="32">
        <v>47212.37</v>
      </c>
      <c r="D125" s="32"/>
      <c r="E125" s="1">
        <f t="shared" si="11"/>
        <v>1868.0129671814759</v>
      </c>
      <c r="F125" s="1">
        <f t="shared" si="12"/>
        <v>1868</v>
      </c>
      <c r="G125" s="1">
        <f t="shared" si="18"/>
        <v>1.1113200002000667E-2</v>
      </c>
      <c r="I125" s="1">
        <f t="shared" si="17"/>
        <v>1.1113200002000667E-2</v>
      </c>
      <c r="P125" s="13">
        <f t="shared" si="14"/>
        <v>6.4716401621044174E-3</v>
      </c>
      <c r="Q125" s="114">
        <f t="shared" si="15"/>
        <v>32193.870000000003</v>
      </c>
      <c r="R125" s="1">
        <f t="shared" si="16"/>
        <v>2.1544077747337701E-5</v>
      </c>
    </row>
    <row r="126" spans="1:18" x14ac:dyDescent="0.2">
      <c r="A126" s="1" t="s">
        <v>84</v>
      </c>
      <c r="C126" s="32">
        <v>47439.485999999997</v>
      </c>
      <c r="D126" s="32"/>
      <c r="E126" s="1">
        <f t="shared" si="11"/>
        <v>2133.0180411285455</v>
      </c>
      <c r="F126" s="1">
        <f t="shared" si="12"/>
        <v>2133</v>
      </c>
      <c r="G126" s="1">
        <f t="shared" si="18"/>
        <v>1.5461699993466027E-2</v>
      </c>
      <c r="I126" s="1">
        <f t="shared" si="17"/>
        <v>1.5461699993466027E-2</v>
      </c>
      <c r="P126" s="13">
        <f t="shared" si="14"/>
        <v>7.2063497245836048E-3</v>
      </c>
      <c r="Q126" s="114">
        <f t="shared" si="15"/>
        <v>32420.985999999997</v>
      </c>
      <c r="R126" s="1">
        <f t="shared" si="16"/>
        <v>6.8150808061937068E-5</v>
      </c>
    </row>
    <row r="127" spans="1:18" x14ac:dyDescent="0.2">
      <c r="A127" s="1" t="s">
        <v>88</v>
      </c>
      <c r="C127" s="32">
        <v>47452.33</v>
      </c>
      <c r="D127" s="32"/>
      <c r="E127" s="1">
        <f t="shared" si="11"/>
        <v>2148.0047667215349</v>
      </c>
      <c r="F127" s="1">
        <f t="shared" si="12"/>
        <v>2148</v>
      </c>
      <c r="G127" s="1">
        <f t="shared" si="18"/>
        <v>4.0852000020095147E-3</v>
      </c>
      <c r="I127" s="1">
        <f t="shared" si="17"/>
        <v>4.0852000020095147E-3</v>
      </c>
      <c r="P127" s="13">
        <f t="shared" si="14"/>
        <v>7.246574605525735E-3</v>
      </c>
      <c r="Q127" s="114">
        <f t="shared" si="15"/>
        <v>32433.83</v>
      </c>
      <c r="R127" s="1">
        <f t="shared" si="16"/>
        <v>9.9942893837573384E-6</v>
      </c>
    </row>
    <row r="128" spans="1:18" x14ac:dyDescent="0.2">
      <c r="A128" s="1" t="s">
        <v>88</v>
      </c>
      <c r="C128" s="32">
        <v>47452.341999999997</v>
      </c>
      <c r="D128" s="32"/>
      <c r="E128" s="1">
        <f t="shared" si="11"/>
        <v>2148.0187686451604</v>
      </c>
      <c r="F128" s="1">
        <f t="shared" si="12"/>
        <v>2148</v>
      </c>
      <c r="G128" s="1">
        <f t="shared" si="18"/>
        <v>1.6085199997178279E-2</v>
      </c>
      <c r="I128" s="1">
        <f t="shared" si="17"/>
        <v>1.6085199997178279E-2</v>
      </c>
      <c r="P128" s="13">
        <f t="shared" si="14"/>
        <v>7.246574605525735E-3</v>
      </c>
      <c r="Q128" s="114">
        <f t="shared" si="15"/>
        <v>32433.841999999997</v>
      </c>
      <c r="R128" s="1">
        <f t="shared" si="16"/>
        <v>7.8121298813965074E-5</v>
      </c>
    </row>
    <row r="129" spans="1:18" x14ac:dyDescent="0.2">
      <c r="A129" s="1" t="s">
        <v>89</v>
      </c>
      <c r="C129" s="32">
        <v>47469.459000000003</v>
      </c>
      <c r="D129" s="32"/>
      <c r="E129" s="1">
        <f t="shared" si="11"/>
        <v>2167.991345877736</v>
      </c>
      <c r="F129" s="1">
        <f t="shared" si="12"/>
        <v>2168</v>
      </c>
      <c r="G129" s="1">
        <f t="shared" si="18"/>
        <v>-7.4167999991914257E-3</v>
      </c>
      <c r="I129" s="1">
        <f t="shared" si="17"/>
        <v>-7.4167999991914257E-3</v>
      </c>
      <c r="P129" s="13">
        <f t="shared" si="14"/>
        <v>7.2999807046513886E-3</v>
      </c>
      <c r="Q129" s="114">
        <f t="shared" si="15"/>
        <v>32450.959000000003</v>
      </c>
      <c r="R129" s="1">
        <f t="shared" si="16"/>
        <v>2.1658363428500021E-4</v>
      </c>
    </row>
    <row r="130" spans="1:18" x14ac:dyDescent="0.2">
      <c r="A130" s="1" t="s">
        <v>84</v>
      </c>
      <c r="C130" s="32">
        <v>47470.319000000003</v>
      </c>
      <c r="D130" s="32"/>
      <c r="E130" s="1">
        <f t="shared" si="11"/>
        <v>2168.9948170712873</v>
      </c>
      <c r="F130" s="1">
        <f t="shared" si="12"/>
        <v>2169</v>
      </c>
      <c r="G130" s="1">
        <f t="shared" si="18"/>
        <v>-4.4418999968911521E-3</v>
      </c>
      <c r="I130" s="1">
        <f t="shared" si="17"/>
        <v>-4.4418999968911521E-3</v>
      </c>
      <c r="P130" s="13">
        <f t="shared" si="14"/>
        <v>7.3026441973437573E-3</v>
      </c>
      <c r="Q130" s="114">
        <f t="shared" si="15"/>
        <v>32451.819000000003</v>
      </c>
      <c r="R130" s="1">
        <f t="shared" ref="R130:R161" si="19">+(P130-G130)^2</f>
        <v>1.379343183303369E-4</v>
      </c>
    </row>
    <row r="131" spans="1:18" x14ac:dyDescent="0.2">
      <c r="A131" s="1" t="s">
        <v>84</v>
      </c>
      <c r="C131" s="32">
        <v>47470.322999999997</v>
      </c>
      <c r="D131" s="32"/>
      <c r="E131" s="1">
        <f t="shared" si="11"/>
        <v>2168.9994843791569</v>
      </c>
      <c r="F131" s="1">
        <f t="shared" si="12"/>
        <v>2169</v>
      </c>
      <c r="G131" s="1">
        <f t="shared" si="18"/>
        <v>-4.4190000335220248E-4</v>
      </c>
      <c r="I131" s="1">
        <f t="shared" si="17"/>
        <v>-4.4190000335220248E-4</v>
      </c>
      <c r="P131" s="13">
        <f t="shared" si="14"/>
        <v>7.3026441973437573E-3</v>
      </c>
      <c r="Q131" s="114">
        <f t="shared" si="15"/>
        <v>32451.822999999997</v>
      </c>
      <c r="R131" s="1">
        <f t="shared" si="19"/>
        <v>5.997796487653342E-5</v>
      </c>
    </row>
    <row r="132" spans="1:18" x14ac:dyDescent="0.2">
      <c r="A132" s="1" t="s">
        <v>88</v>
      </c>
      <c r="C132" s="32">
        <v>47481.468000000001</v>
      </c>
      <c r="D132" s="32"/>
      <c r="E132" s="1">
        <f t="shared" si="11"/>
        <v>2182.0037709513986</v>
      </c>
      <c r="F132" s="1">
        <f t="shared" si="12"/>
        <v>2182</v>
      </c>
      <c r="G132" s="1">
        <f t="shared" si="18"/>
        <v>3.2318000012310222E-3</v>
      </c>
      <c r="I132" s="1">
        <f t="shared" ref="I132:I140" si="20">G132</f>
        <v>3.2318000012310222E-3</v>
      </c>
      <c r="P132" s="13">
        <f t="shared" si="14"/>
        <v>7.3372105627239293E-3</v>
      </c>
      <c r="Q132" s="114">
        <f t="shared" si="15"/>
        <v>32462.968000000001</v>
      </c>
      <c r="R132" s="1">
        <f t="shared" si="19"/>
        <v>1.6854395878417509E-5</v>
      </c>
    </row>
    <row r="133" spans="1:18" x14ac:dyDescent="0.2">
      <c r="A133" s="1" t="s">
        <v>90</v>
      </c>
      <c r="C133" s="32">
        <v>47524.326000000001</v>
      </c>
      <c r="D133" s="32"/>
      <c r="E133" s="1">
        <f t="shared" si="11"/>
        <v>2232.0116411993063</v>
      </c>
      <c r="F133" s="1">
        <f t="shared" si="12"/>
        <v>2232</v>
      </c>
      <c r="G133" s="1">
        <f t="shared" si="18"/>
        <v>9.9768000000040047E-3</v>
      </c>
      <c r="I133" s="1">
        <f t="shared" si="20"/>
        <v>9.9768000000040047E-3</v>
      </c>
      <c r="P133" s="13">
        <f t="shared" si="14"/>
        <v>7.4691362822911084E-3</v>
      </c>
      <c r="Q133" s="114">
        <f t="shared" si="15"/>
        <v>32505.826000000001</v>
      </c>
      <c r="R133" s="1">
        <f t="shared" si="19"/>
        <v>6.2883773211336643E-6</v>
      </c>
    </row>
    <row r="134" spans="1:18" x14ac:dyDescent="0.2">
      <c r="A134" s="1" t="s">
        <v>90</v>
      </c>
      <c r="C134" s="32">
        <v>47530.355000000003</v>
      </c>
      <c r="D134" s="32"/>
      <c r="E134" s="1">
        <f t="shared" si="11"/>
        <v>2239.0464409968877</v>
      </c>
      <c r="F134" s="1">
        <f t="shared" si="12"/>
        <v>2239</v>
      </c>
      <c r="G134" s="1">
        <f t="shared" si="18"/>
        <v>3.9801099999749567E-2</v>
      </c>
      <c r="I134" s="1">
        <f t="shared" si="20"/>
        <v>3.9801099999749567E-2</v>
      </c>
      <c r="P134" s="13">
        <f t="shared" si="14"/>
        <v>7.487476450016118E-3</v>
      </c>
      <c r="Q134" s="114">
        <f t="shared" si="15"/>
        <v>32511.855000000003</v>
      </c>
      <c r="R134" s="1">
        <f t="shared" si="19"/>
        <v>1.0441702669138884E-3</v>
      </c>
    </row>
    <row r="135" spans="1:18" x14ac:dyDescent="0.2">
      <c r="A135" s="1" t="s">
        <v>90</v>
      </c>
      <c r="C135" s="32">
        <v>47553.478000000003</v>
      </c>
      <c r="D135" s="32"/>
      <c r="E135" s="1">
        <f t="shared" si="11"/>
        <v>2266.0269810067421</v>
      </c>
      <c r="F135" s="1">
        <f t="shared" si="12"/>
        <v>2266</v>
      </c>
      <c r="G135" s="1">
        <f t="shared" si="18"/>
        <v>2.3123400002077688E-2</v>
      </c>
      <c r="I135" s="1">
        <f t="shared" si="20"/>
        <v>2.3123400002077688E-2</v>
      </c>
      <c r="P135" s="13">
        <f t="shared" si="14"/>
        <v>7.5579193037042768E-3</v>
      </c>
      <c r="Q135" s="114">
        <f t="shared" si="15"/>
        <v>32534.978000000003</v>
      </c>
      <c r="R135" s="1">
        <f t="shared" si="19"/>
        <v>2.422841893714352E-4</v>
      </c>
    </row>
    <row r="136" spans="1:18" x14ac:dyDescent="0.2">
      <c r="A136" s="1" t="s">
        <v>90</v>
      </c>
      <c r="C136" s="32">
        <v>47554.326000000001</v>
      </c>
      <c r="D136" s="32"/>
      <c r="E136" s="1">
        <f t="shared" si="11"/>
        <v>2267.0164502766597</v>
      </c>
      <c r="F136" s="1">
        <f t="shared" si="12"/>
        <v>2267</v>
      </c>
      <c r="G136" s="1">
        <f t="shared" si="18"/>
        <v>1.4098300001933239E-2</v>
      </c>
      <c r="I136" s="1">
        <f t="shared" si="20"/>
        <v>1.4098300001933239E-2</v>
      </c>
      <c r="P136" s="13">
        <f t="shared" si="14"/>
        <v>7.5605192152667661E-3</v>
      </c>
      <c r="Q136" s="114">
        <f t="shared" si="15"/>
        <v>32535.826000000001</v>
      </c>
      <c r="R136" s="1">
        <f t="shared" si="19"/>
        <v>4.274257761450529E-5</v>
      </c>
    </row>
    <row r="137" spans="1:18" x14ac:dyDescent="0.2">
      <c r="A137" s="1" t="s">
        <v>90</v>
      </c>
      <c r="C137" s="32">
        <v>47566.305</v>
      </c>
      <c r="D137" s="32"/>
      <c r="E137" s="1">
        <f t="shared" si="11"/>
        <v>2280.9938705412465</v>
      </c>
      <c r="F137" s="1">
        <f t="shared" si="12"/>
        <v>2281</v>
      </c>
      <c r="G137" s="1">
        <f t="shared" si="18"/>
        <v>-5.2531000037561171E-3</v>
      </c>
      <c r="I137" s="1">
        <f t="shared" si="20"/>
        <v>-5.2531000037561171E-3</v>
      </c>
      <c r="P137" s="13">
        <f t="shared" si="14"/>
        <v>7.5968498545024542E-3</v>
      </c>
      <c r="Q137" s="114">
        <f t="shared" si="15"/>
        <v>32547.805</v>
      </c>
      <c r="R137" s="1">
        <f t="shared" si="19"/>
        <v>1.6512121135975948E-4</v>
      </c>
    </row>
    <row r="138" spans="1:18" x14ac:dyDescent="0.2">
      <c r="A138" s="1" t="s">
        <v>90</v>
      </c>
      <c r="C138" s="32">
        <v>47590.311000000002</v>
      </c>
      <c r="D138" s="32"/>
      <c r="E138" s="1">
        <f t="shared" si="11"/>
        <v>2309.0047187649466</v>
      </c>
      <c r="F138" s="1">
        <f t="shared" si="12"/>
        <v>2309</v>
      </c>
      <c r="G138" s="1">
        <f t="shared" si="18"/>
        <v>4.0441000019200146E-3</v>
      </c>
      <c r="I138" s="1">
        <f t="shared" si="20"/>
        <v>4.0441000019200146E-3</v>
      </c>
      <c r="P138" s="13">
        <f t="shared" si="14"/>
        <v>7.6691296461945625E-3</v>
      </c>
      <c r="Q138" s="114">
        <f t="shared" si="15"/>
        <v>32571.811000000002</v>
      </c>
      <c r="R138" s="1">
        <f t="shared" si="19"/>
        <v>1.3140839921869255E-5</v>
      </c>
    </row>
    <row r="139" spans="1:18" x14ac:dyDescent="0.2">
      <c r="A139" s="1" t="s">
        <v>91</v>
      </c>
      <c r="C139" s="32">
        <v>47805.432000000001</v>
      </c>
      <c r="D139" s="32"/>
      <c r="E139" s="1">
        <f t="shared" si="11"/>
        <v>2560.0137032159259</v>
      </c>
      <c r="F139" s="1">
        <f t="shared" si="12"/>
        <v>2560</v>
      </c>
      <c r="G139" s="1">
        <f t="shared" si="18"/>
        <v>1.174400000309106E-2</v>
      </c>
      <c r="I139" s="1">
        <f t="shared" si="20"/>
        <v>1.174400000309106E-2</v>
      </c>
      <c r="P139" s="13">
        <f t="shared" si="14"/>
        <v>8.2943493964944721E-3</v>
      </c>
      <c r="Q139" s="114">
        <f t="shared" si="15"/>
        <v>32786.932000000001</v>
      </c>
      <c r="R139" s="1">
        <f t="shared" si="19"/>
        <v>1.1900089307592203E-5</v>
      </c>
    </row>
    <row r="140" spans="1:18" x14ac:dyDescent="0.2">
      <c r="A140" s="1" t="s">
        <v>89</v>
      </c>
      <c r="C140" s="32">
        <v>47847.417999999998</v>
      </c>
      <c r="D140" s="32"/>
      <c r="E140" s="1">
        <f t="shared" si="11"/>
        <v>2609.0041003466486</v>
      </c>
      <c r="F140" s="1">
        <f t="shared" si="12"/>
        <v>2609</v>
      </c>
      <c r="G140" s="1">
        <f t="shared" si="18"/>
        <v>3.5140999971190467E-3</v>
      </c>
      <c r="I140" s="1">
        <f t="shared" si="20"/>
        <v>3.5140999971190467E-3</v>
      </c>
      <c r="P140" s="13">
        <f t="shared" si="14"/>
        <v>8.4116356634057702E-3</v>
      </c>
      <c r="Q140" s="114">
        <f t="shared" si="15"/>
        <v>32828.917999999998</v>
      </c>
      <c r="R140" s="1">
        <f t="shared" si="19"/>
        <v>2.3985855602550542E-5</v>
      </c>
    </row>
    <row r="141" spans="1:18" x14ac:dyDescent="0.2">
      <c r="A141" s="33" t="s">
        <v>92</v>
      </c>
      <c r="B141" s="34" t="s">
        <v>57</v>
      </c>
      <c r="C141" s="33">
        <v>47847.418400000002</v>
      </c>
      <c r="D141" s="32"/>
      <c r="E141" s="29">
        <f t="shared" si="11"/>
        <v>2609.0045670774412</v>
      </c>
      <c r="F141" s="1">
        <f t="shared" si="12"/>
        <v>2609</v>
      </c>
      <c r="G141" s="1">
        <f t="shared" si="18"/>
        <v>3.914100001566112E-3</v>
      </c>
      <c r="J141" s="1">
        <f>G141</f>
        <v>3.914100001566112E-3</v>
      </c>
      <c r="O141" s="1">
        <f ca="1">+C$11+C$12*F141</f>
        <v>2.2857929862349038E-2</v>
      </c>
      <c r="P141" s="13">
        <f t="shared" si="14"/>
        <v>8.4116356634057702E-3</v>
      </c>
      <c r="Q141" s="114">
        <f t="shared" si="15"/>
        <v>32828.918400000002</v>
      </c>
      <c r="R141" s="1">
        <f t="shared" si="19"/>
        <v>2.0227827029519491E-5</v>
      </c>
    </row>
    <row r="142" spans="1:18" x14ac:dyDescent="0.2">
      <c r="A142" s="1" t="s">
        <v>89</v>
      </c>
      <c r="C142" s="32">
        <v>47847.418799999999</v>
      </c>
      <c r="D142" s="32"/>
      <c r="E142" s="1">
        <f t="shared" si="11"/>
        <v>2609.0050338082256</v>
      </c>
      <c r="F142" s="1">
        <f t="shared" si="12"/>
        <v>2609</v>
      </c>
      <c r="G142" s="1">
        <f t="shared" si="18"/>
        <v>4.3140999987372197E-3</v>
      </c>
      <c r="I142" s="1">
        <f t="shared" ref="I142:I153" si="21">G142</f>
        <v>4.3140999987372197E-3</v>
      </c>
      <c r="J142" s="1">
        <f>G142</f>
        <v>4.3140999987372197E-3</v>
      </c>
      <c r="P142" s="13">
        <f t="shared" si="14"/>
        <v>8.4116356634057702E-3</v>
      </c>
      <c r="Q142" s="114">
        <f t="shared" si="15"/>
        <v>32828.918799999999</v>
      </c>
      <c r="R142" s="1">
        <f t="shared" si="19"/>
        <v>1.6789798523230738E-5</v>
      </c>
    </row>
    <row r="143" spans="1:18" x14ac:dyDescent="0.2">
      <c r="A143" s="1" t="s">
        <v>89</v>
      </c>
      <c r="C143" s="32">
        <v>47847.421000000002</v>
      </c>
      <c r="D143" s="32"/>
      <c r="E143" s="1">
        <f t="shared" si="11"/>
        <v>2609.007600827561</v>
      </c>
      <c r="F143" s="1">
        <f t="shared" si="12"/>
        <v>2609</v>
      </c>
      <c r="G143" s="1">
        <f t="shared" si="18"/>
        <v>6.514100001368206E-3</v>
      </c>
      <c r="I143" s="1">
        <f t="shared" si="21"/>
        <v>6.514100001368206E-3</v>
      </c>
      <c r="P143" s="13">
        <f t="shared" si="14"/>
        <v>8.4116356634057702E-3</v>
      </c>
      <c r="Q143" s="114">
        <f t="shared" si="15"/>
        <v>32828.921000000002</v>
      </c>
      <c r="R143" s="1">
        <f t="shared" si="19"/>
        <v>3.6006415887043371E-6</v>
      </c>
    </row>
    <row r="144" spans="1:18" x14ac:dyDescent="0.2">
      <c r="A144" s="1" t="s">
        <v>89</v>
      </c>
      <c r="C144" s="32">
        <v>47860.27</v>
      </c>
      <c r="D144" s="32"/>
      <c r="E144" s="1">
        <f t="shared" si="11"/>
        <v>2624.0001605553857</v>
      </c>
      <c r="F144" s="1">
        <f t="shared" si="12"/>
        <v>2624</v>
      </c>
      <c r="G144" s="1">
        <f t="shared" si="18"/>
        <v>1.3759999274043366E-4</v>
      </c>
      <c r="I144" s="1">
        <f t="shared" si="21"/>
        <v>1.3759999274043366E-4</v>
      </c>
      <c r="P144" s="13">
        <f t="shared" si="14"/>
        <v>8.4472282048853355E-3</v>
      </c>
      <c r="Q144" s="114">
        <f t="shared" si="15"/>
        <v>32841.769999999997</v>
      </c>
      <c r="R144" s="1">
        <f t="shared" si="19"/>
        <v>6.9049921024074481E-5</v>
      </c>
    </row>
    <row r="145" spans="1:18" x14ac:dyDescent="0.2">
      <c r="A145" s="1" t="s">
        <v>93</v>
      </c>
      <c r="C145" s="32">
        <v>47895.41</v>
      </c>
      <c r="D145" s="32"/>
      <c r="E145" s="1">
        <f t="shared" si="11"/>
        <v>2665.0024602546669</v>
      </c>
      <c r="F145" s="1">
        <f t="shared" si="12"/>
        <v>2665</v>
      </c>
      <c r="G145" s="1">
        <f t="shared" si="18"/>
        <v>2.1085000043967739E-3</v>
      </c>
      <c r="I145" s="1">
        <f t="shared" si="21"/>
        <v>2.1085000043967739E-3</v>
      </c>
      <c r="P145" s="13">
        <f t="shared" si="14"/>
        <v>8.543769677408046E-3</v>
      </c>
      <c r="Q145" s="114">
        <f t="shared" si="15"/>
        <v>32876.910000000003</v>
      </c>
      <c r="R145" s="1">
        <f t="shared" si="19"/>
        <v>4.1412695764378602E-5</v>
      </c>
    </row>
    <row r="146" spans="1:18" x14ac:dyDescent="0.2">
      <c r="A146" s="1" t="s">
        <v>93</v>
      </c>
      <c r="C146" s="32">
        <v>47914.29</v>
      </c>
      <c r="D146" s="32"/>
      <c r="E146" s="1">
        <f t="shared" si="11"/>
        <v>2687.0321534340119</v>
      </c>
      <c r="F146" s="1">
        <f t="shared" si="12"/>
        <v>2687</v>
      </c>
      <c r="G146" s="1">
        <f t="shared" si="18"/>
        <v>2.7556299995922018E-2</v>
      </c>
      <c r="I146" s="1">
        <f t="shared" si="21"/>
        <v>2.7556299995922018E-2</v>
      </c>
      <c r="P146" s="13">
        <f t="shared" si="14"/>
        <v>8.5951228093432714E-3</v>
      </c>
      <c r="Q146" s="114">
        <f t="shared" si="15"/>
        <v>32895.79</v>
      </c>
      <c r="R146" s="1">
        <f t="shared" si="19"/>
        <v>3.5952624030083439E-4</v>
      </c>
    </row>
    <row r="147" spans="1:18" x14ac:dyDescent="0.2">
      <c r="A147" s="1" t="s">
        <v>94</v>
      </c>
      <c r="C147" s="32">
        <v>47919.398000000001</v>
      </c>
      <c r="D147" s="32"/>
      <c r="E147" s="1">
        <f t="shared" si="11"/>
        <v>2692.9923055929162</v>
      </c>
      <c r="F147" s="1">
        <f t="shared" si="12"/>
        <v>2693</v>
      </c>
      <c r="G147" s="1">
        <f t="shared" si="18"/>
        <v>-6.5943000008701347E-3</v>
      </c>
      <c r="I147" s="1">
        <f t="shared" si="21"/>
        <v>-6.5943000008701347E-3</v>
      </c>
      <c r="P147" s="13">
        <f t="shared" si="14"/>
        <v>8.609073710850644E-3</v>
      </c>
      <c r="Q147" s="114">
        <f t="shared" si="15"/>
        <v>32900.898000000001</v>
      </c>
      <c r="R147" s="1">
        <f t="shared" si="19"/>
        <v>2.3114257221824245E-4</v>
      </c>
    </row>
    <row r="148" spans="1:18" x14ac:dyDescent="0.2">
      <c r="A148" s="1" t="s">
        <v>93</v>
      </c>
      <c r="C148" s="32">
        <v>47932.277999999998</v>
      </c>
      <c r="D148" s="32"/>
      <c r="E148" s="1">
        <f t="shared" si="11"/>
        <v>2708.0210369567903</v>
      </c>
      <c r="F148" s="1">
        <f t="shared" si="12"/>
        <v>2708</v>
      </c>
      <c r="G148" s="1">
        <f t="shared" si="18"/>
        <v>1.8029199993179645E-2</v>
      </c>
      <c r="I148" s="1">
        <f t="shared" si="21"/>
        <v>1.8029199993179645E-2</v>
      </c>
      <c r="P148" s="13">
        <f t="shared" si="14"/>
        <v>8.6438487806603445E-3</v>
      </c>
      <c r="Q148" s="114">
        <f t="shared" si="15"/>
        <v>32913.777999999998</v>
      </c>
      <c r="R148" s="1">
        <f t="shared" si="19"/>
        <v>8.8084817382337507E-5</v>
      </c>
    </row>
    <row r="149" spans="1:18" x14ac:dyDescent="0.2">
      <c r="A149" s="1" t="s">
        <v>94</v>
      </c>
      <c r="C149" s="32">
        <v>47943.387000000002</v>
      </c>
      <c r="D149" s="32"/>
      <c r="E149" s="1">
        <f t="shared" ref="E149:E212" si="22">+(C149-C$7)/C$8</f>
        <v>2720.983317758139</v>
      </c>
      <c r="F149" s="1">
        <f t="shared" ref="F149:F212" si="23">ROUND(2*E149,0)/2</f>
        <v>2721</v>
      </c>
      <c r="G149" s="1">
        <f t="shared" ref="G149:G180" si="24">+C149-(C$7+F149*C$8)</f>
        <v>-1.4297100002295338E-2</v>
      </c>
      <c r="I149" s="1">
        <f t="shared" si="21"/>
        <v>-1.4297100002295338E-2</v>
      </c>
      <c r="P149" s="13">
        <f t="shared" ref="P149:P212" si="25">+D$11+D$12*F149+D$13*F149^2</f>
        <v>8.673869095254215E-3</v>
      </c>
      <c r="Q149" s="114">
        <f t="shared" ref="Q149:Q212" si="26">+C149-15018.5</f>
        <v>32924.887000000002</v>
      </c>
      <c r="R149" s="1">
        <f t="shared" si="19"/>
        <v>5.2766542128057647E-4</v>
      </c>
    </row>
    <row r="150" spans="1:18" x14ac:dyDescent="0.2">
      <c r="A150" s="1" t="s">
        <v>94</v>
      </c>
      <c r="C150" s="32">
        <v>47943.387000000002</v>
      </c>
      <c r="D150" s="32"/>
      <c r="E150" s="1">
        <f t="shared" si="22"/>
        <v>2720.983317758139</v>
      </c>
      <c r="F150" s="1">
        <f t="shared" si="23"/>
        <v>2721</v>
      </c>
      <c r="G150" s="1">
        <f t="shared" si="24"/>
        <v>-1.4297100002295338E-2</v>
      </c>
      <c r="I150" s="1">
        <f t="shared" si="21"/>
        <v>-1.4297100002295338E-2</v>
      </c>
      <c r="P150" s="13">
        <f t="shared" si="25"/>
        <v>8.673869095254215E-3</v>
      </c>
      <c r="Q150" s="114">
        <f t="shared" si="26"/>
        <v>32924.887000000002</v>
      </c>
      <c r="R150" s="1">
        <f t="shared" si="19"/>
        <v>5.2766542128057647E-4</v>
      </c>
    </row>
    <row r="151" spans="1:18" x14ac:dyDescent="0.2">
      <c r="A151" s="1" t="s">
        <v>93</v>
      </c>
      <c r="C151" s="32">
        <v>47944.286999999997</v>
      </c>
      <c r="D151" s="32"/>
      <c r="E151" s="1">
        <f t="shared" si="22"/>
        <v>2722.0334620304529</v>
      </c>
      <c r="F151" s="1">
        <f t="shared" si="23"/>
        <v>2722</v>
      </c>
      <c r="G151" s="1">
        <f t="shared" si="24"/>
        <v>2.8677799993602093E-2</v>
      </c>
      <c r="I151" s="1">
        <f t="shared" si="21"/>
        <v>2.8677799993602093E-2</v>
      </c>
      <c r="P151" s="13">
        <f t="shared" si="25"/>
        <v>8.6761738087136973E-3</v>
      </c>
      <c r="Q151" s="114">
        <f t="shared" si="26"/>
        <v>32925.786999999997</v>
      </c>
      <c r="R151" s="1">
        <f t="shared" si="19"/>
        <v>4.0006505004001322E-4</v>
      </c>
    </row>
    <row r="152" spans="1:18" x14ac:dyDescent="0.2">
      <c r="A152" s="1" t="s">
        <v>95</v>
      </c>
      <c r="C152" s="32">
        <v>48189.385000000002</v>
      </c>
      <c r="D152" s="32"/>
      <c r="E152" s="1">
        <f t="shared" si="22"/>
        <v>3008.020418538501</v>
      </c>
      <c r="F152" s="1">
        <f t="shared" si="23"/>
        <v>3008</v>
      </c>
      <c r="G152" s="1">
        <f t="shared" si="24"/>
        <v>1.7499200002930593E-2</v>
      </c>
      <c r="I152" s="1">
        <f t="shared" si="21"/>
        <v>1.7499200002930593E-2</v>
      </c>
      <c r="P152" s="13">
        <f t="shared" si="25"/>
        <v>9.3086949892344333E-3</v>
      </c>
      <c r="Q152" s="114">
        <f t="shared" si="26"/>
        <v>33170.885000000002</v>
      </c>
      <c r="R152" s="1">
        <f t="shared" si="19"/>
        <v>6.7084372379381925E-5</v>
      </c>
    </row>
    <row r="153" spans="1:18" x14ac:dyDescent="0.2">
      <c r="A153" s="1" t="s">
        <v>94</v>
      </c>
      <c r="C153" s="32">
        <v>48512.483999999997</v>
      </c>
      <c r="D153" s="32"/>
      <c r="E153" s="1">
        <f t="shared" si="22"/>
        <v>3385.0210454746252</v>
      </c>
      <c r="F153" s="1">
        <f t="shared" si="23"/>
        <v>3385</v>
      </c>
      <c r="G153" s="1">
        <f t="shared" si="24"/>
        <v>1.8036499997833744E-2</v>
      </c>
      <c r="I153" s="1">
        <f t="shared" si="21"/>
        <v>1.8036499997833744E-2</v>
      </c>
      <c r="P153" s="13">
        <f t="shared" si="25"/>
        <v>1.0061390424347368E-2</v>
      </c>
      <c r="Q153" s="114">
        <f t="shared" si="26"/>
        <v>33493.983999999997</v>
      </c>
      <c r="R153" s="1">
        <f t="shared" si="19"/>
        <v>6.3602372709114038E-5</v>
      </c>
    </row>
    <row r="154" spans="1:18" x14ac:dyDescent="0.2">
      <c r="A154" s="1" t="s">
        <v>96</v>
      </c>
      <c r="C154" s="32">
        <v>48567.322399999997</v>
      </c>
      <c r="D154" s="32"/>
      <c r="E154" s="1">
        <f t="shared" si="22"/>
        <v>3449.0079695448776</v>
      </c>
      <c r="F154" s="1">
        <f t="shared" si="23"/>
        <v>3449</v>
      </c>
      <c r="G154" s="1">
        <f t="shared" si="24"/>
        <v>6.8300999992061406E-3</v>
      </c>
      <c r="J154" s="1">
        <f>G154</f>
        <v>6.8300999992061406E-3</v>
      </c>
      <c r="P154" s="13">
        <f t="shared" si="25"/>
        <v>1.0180013277048674E-2</v>
      </c>
      <c r="Q154" s="114">
        <f t="shared" si="26"/>
        <v>33548.822399999997</v>
      </c>
      <c r="R154" s="1">
        <f t="shared" si="19"/>
        <v>1.1221918969065705E-5</v>
      </c>
    </row>
    <row r="155" spans="1:18" x14ac:dyDescent="0.2">
      <c r="A155" s="1" t="s">
        <v>96</v>
      </c>
      <c r="C155" s="32">
        <v>48567.323900000003</v>
      </c>
      <c r="D155" s="32">
        <v>1.1000000000000001E-3</v>
      </c>
      <c r="E155" s="1">
        <f t="shared" si="22"/>
        <v>3449.0097197853383</v>
      </c>
      <c r="F155" s="1">
        <f t="shared" si="23"/>
        <v>3449</v>
      </c>
      <c r="G155" s="1">
        <f t="shared" si="24"/>
        <v>8.3301000049686991E-3</v>
      </c>
      <c r="J155" s="1">
        <f>G155</f>
        <v>8.3301000049686991E-3</v>
      </c>
      <c r="P155" s="13">
        <f t="shared" si="25"/>
        <v>1.0180013277048674E-2</v>
      </c>
      <c r="Q155" s="114">
        <f t="shared" si="26"/>
        <v>33548.823900000003</v>
      </c>
      <c r="R155" s="1">
        <f t="shared" si="19"/>
        <v>3.4221791142176386E-6</v>
      </c>
    </row>
    <row r="156" spans="1:18" x14ac:dyDescent="0.2">
      <c r="A156" s="1" t="s">
        <v>96</v>
      </c>
      <c r="C156" s="32">
        <v>48567.323900000003</v>
      </c>
      <c r="D156" s="32"/>
      <c r="E156" s="1">
        <f t="shared" si="22"/>
        <v>3449.0097197853383</v>
      </c>
      <c r="F156" s="1">
        <f t="shared" si="23"/>
        <v>3449</v>
      </c>
      <c r="G156" s="1">
        <f t="shared" si="24"/>
        <v>8.3301000049686991E-3</v>
      </c>
      <c r="J156" s="1">
        <f>G156</f>
        <v>8.3301000049686991E-3</v>
      </c>
      <c r="P156" s="13">
        <f t="shared" si="25"/>
        <v>1.0180013277048674E-2</v>
      </c>
      <c r="Q156" s="114">
        <f t="shared" si="26"/>
        <v>33548.823900000003</v>
      </c>
      <c r="R156" s="1">
        <f t="shared" si="19"/>
        <v>3.4221791142176386E-6</v>
      </c>
    </row>
    <row r="157" spans="1:18" x14ac:dyDescent="0.2">
      <c r="A157" s="1" t="s">
        <v>96</v>
      </c>
      <c r="C157" s="32">
        <v>48567.3246</v>
      </c>
      <c r="D157" s="32"/>
      <c r="E157" s="1">
        <f t="shared" si="22"/>
        <v>3449.010536564213</v>
      </c>
      <c r="F157" s="1">
        <f t="shared" si="23"/>
        <v>3449</v>
      </c>
      <c r="G157" s="1">
        <f t="shared" si="24"/>
        <v>9.0301000018371269E-3</v>
      </c>
      <c r="J157" s="1">
        <f>G157</f>
        <v>9.0301000018371269E-3</v>
      </c>
      <c r="P157" s="13">
        <f t="shared" si="25"/>
        <v>1.0180013277048674E-2</v>
      </c>
      <c r="Q157" s="114">
        <f t="shared" si="26"/>
        <v>33548.8246</v>
      </c>
      <c r="R157" s="1">
        <f t="shared" si="19"/>
        <v>1.3223005405077468E-6</v>
      </c>
    </row>
    <row r="158" spans="1:18" x14ac:dyDescent="0.2">
      <c r="A158" s="1" t="s">
        <v>97</v>
      </c>
      <c r="C158" s="32">
        <v>48621.337</v>
      </c>
      <c r="D158" s="32"/>
      <c r="E158" s="1">
        <f t="shared" si="22"/>
        <v>3512.0336615578681</v>
      </c>
      <c r="F158" s="1">
        <f t="shared" si="23"/>
        <v>3512</v>
      </c>
      <c r="G158" s="1">
        <f t="shared" si="24"/>
        <v>2.8848800000560004E-2</v>
      </c>
      <c r="I158" s="1">
        <f t="shared" ref="I158:I169" si="27">G158</f>
        <v>2.8848800000560004E-2</v>
      </c>
      <c r="P158" s="13">
        <f t="shared" si="25"/>
        <v>1.0294187175124703E-2</v>
      </c>
      <c r="Q158" s="114">
        <f t="shared" si="26"/>
        <v>33602.837</v>
      </c>
      <c r="R158" s="1">
        <f t="shared" si="19"/>
        <v>3.4427365710180816E-4</v>
      </c>
    </row>
    <row r="159" spans="1:18" x14ac:dyDescent="0.2">
      <c r="A159" s="1" t="s">
        <v>97</v>
      </c>
      <c r="C159" s="32">
        <v>48651.324999999997</v>
      </c>
      <c r="D159" s="32"/>
      <c r="E159" s="1">
        <f t="shared" si="22"/>
        <v>3547.0244687115883</v>
      </c>
      <c r="F159" s="1">
        <f t="shared" si="23"/>
        <v>3547</v>
      </c>
      <c r="G159" s="1">
        <f t="shared" si="24"/>
        <v>2.097029999276856E-2</v>
      </c>
      <c r="I159" s="1">
        <f t="shared" si="27"/>
        <v>2.097029999276856E-2</v>
      </c>
      <c r="P159" s="13">
        <f t="shared" si="25"/>
        <v>1.0356504448727403E-2</v>
      </c>
      <c r="Q159" s="114">
        <f t="shared" si="26"/>
        <v>33632.824999999997</v>
      </c>
      <c r="R159" s="1">
        <f t="shared" si="19"/>
        <v>1.1265265585070791E-4</v>
      </c>
    </row>
    <row r="160" spans="1:18" x14ac:dyDescent="0.2">
      <c r="A160" s="1" t="s">
        <v>98</v>
      </c>
      <c r="C160" s="32">
        <v>48699.317000000003</v>
      </c>
      <c r="D160" s="32"/>
      <c r="E160" s="1">
        <f t="shared" si="22"/>
        <v>3603.0228286196066</v>
      </c>
      <c r="F160" s="1">
        <f t="shared" si="23"/>
        <v>3603</v>
      </c>
      <c r="G160" s="1">
        <f t="shared" si="24"/>
        <v>1.9564700000046287E-2</v>
      </c>
      <c r="I160" s="1">
        <f t="shared" si="27"/>
        <v>1.9564700000046287E-2</v>
      </c>
      <c r="P160" s="13">
        <f t="shared" si="25"/>
        <v>1.0454558977114888E-2</v>
      </c>
      <c r="Q160" s="114">
        <f t="shared" si="26"/>
        <v>33680.817000000003</v>
      </c>
      <c r="R160" s="1">
        <f t="shared" si="19"/>
        <v>8.2994669457697542E-5</v>
      </c>
    </row>
    <row r="161" spans="1:21" x14ac:dyDescent="0.2">
      <c r="A161" s="1" t="s">
        <v>99</v>
      </c>
      <c r="C161" s="32">
        <v>48860.432999999997</v>
      </c>
      <c r="D161" s="32"/>
      <c r="E161" s="1">
        <f t="shared" si="22"/>
        <v>3791.0173225964977</v>
      </c>
      <c r="F161" s="1">
        <f t="shared" si="23"/>
        <v>3791</v>
      </c>
      <c r="G161" s="1">
        <f t="shared" si="24"/>
        <v>1.4845899997453671E-2</v>
      </c>
      <c r="I161" s="1">
        <f t="shared" si="27"/>
        <v>1.4845899997453671E-2</v>
      </c>
      <c r="P161" s="13">
        <f t="shared" si="25"/>
        <v>1.0768861457161747E-2</v>
      </c>
      <c r="Q161" s="114">
        <f t="shared" si="26"/>
        <v>33841.932999999997</v>
      </c>
      <c r="R161" s="1">
        <f t="shared" si="19"/>
        <v>1.66222432590257E-5</v>
      </c>
    </row>
    <row r="162" spans="1:21" x14ac:dyDescent="0.2">
      <c r="A162" s="1" t="s">
        <v>99</v>
      </c>
      <c r="C162" s="32">
        <v>48872.432000000001</v>
      </c>
      <c r="D162" s="32"/>
      <c r="E162" s="1">
        <f t="shared" si="22"/>
        <v>3805.0180794004741</v>
      </c>
      <c r="F162" s="1">
        <f t="shared" si="23"/>
        <v>3805</v>
      </c>
      <c r="G162" s="1">
        <f t="shared" si="24"/>
        <v>1.5494499995838851E-2</v>
      </c>
      <c r="I162" s="1">
        <f t="shared" si="27"/>
        <v>1.5494499995838851E-2</v>
      </c>
      <c r="P162" s="13">
        <f t="shared" si="25"/>
        <v>1.0791349576121066E-2</v>
      </c>
      <c r="Q162" s="114">
        <f t="shared" si="26"/>
        <v>33853.932000000001</v>
      </c>
      <c r="R162" s="1">
        <f t="shared" ref="R162:R189" si="28">+(P162-G162)^2</f>
        <v>2.2119623870491573E-5</v>
      </c>
    </row>
    <row r="163" spans="1:21" x14ac:dyDescent="0.2">
      <c r="A163" s="1" t="s">
        <v>100</v>
      </c>
      <c r="C163" s="32">
        <v>49005.267</v>
      </c>
      <c r="D163" s="32"/>
      <c r="E163" s="1">
        <f t="shared" si="22"/>
        <v>3960.0135398601492</v>
      </c>
      <c r="F163" s="1">
        <f t="shared" si="23"/>
        <v>3960</v>
      </c>
      <c r="G163" s="1">
        <f t="shared" si="24"/>
        <v>1.1603999999351799E-2</v>
      </c>
      <c r="I163" s="1">
        <f t="shared" si="27"/>
        <v>1.1603999999351799E-2</v>
      </c>
      <c r="P163" s="13">
        <f t="shared" si="25"/>
        <v>1.103182769063411E-2</v>
      </c>
      <c r="Q163" s="114">
        <f t="shared" si="26"/>
        <v>33986.767</v>
      </c>
      <c r="R163" s="1">
        <f t="shared" si="28"/>
        <v>3.2738115086333108E-7</v>
      </c>
    </row>
    <row r="164" spans="1:21" x14ac:dyDescent="0.2">
      <c r="A164" s="1" t="s">
        <v>101</v>
      </c>
      <c r="C164" s="32">
        <v>49250.368999999999</v>
      </c>
      <c r="D164" s="32"/>
      <c r="E164" s="1">
        <f t="shared" si="22"/>
        <v>4246.0051636760663</v>
      </c>
      <c r="F164" s="1">
        <f t="shared" si="23"/>
        <v>4246</v>
      </c>
      <c r="G164" s="1">
        <f t="shared" si="24"/>
        <v>4.4253999949432909E-3</v>
      </c>
      <c r="I164" s="1">
        <f t="shared" si="27"/>
        <v>4.4253999949432909E-3</v>
      </c>
      <c r="O164" s="1">
        <f t="shared" ref="O164:O195" ca="1" si="29">+C$11+C$12*F164</f>
        <v>2.0558030073100794E-2</v>
      </c>
      <c r="P164" s="13">
        <f t="shared" si="25"/>
        <v>1.143463414162663E-2</v>
      </c>
      <c r="Q164" s="114">
        <f t="shared" si="26"/>
        <v>34231.868999999999</v>
      </c>
      <c r="R164" s="1">
        <f t="shared" si="28"/>
        <v>4.9129363323031711E-5</v>
      </c>
    </row>
    <row r="165" spans="1:21" x14ac:dyDescent="0.2">
      <c r="A165" s="1" t="s">
        <v>94</v>
      </c>
      <c r="C165" s="32">
        <v>49688.322</v>
      </c>
      <c r="D165" s="32"/>
      <c r="E165" s="1">
        <f t="shared" si="22"/>
        <v>4757.0205353378778</v>
      </c>
      <c r="F165" s="1">
        <f t="shared" si="23"/>
        <v>4757</v>
      </c>
      <c r="G165" s="1">
        <f t="shared" si="24"/>
        <v>1.759930000116583E-2</v>
      </c>
      <c r="I165" s="1">
        <f t="shared" si="27"/>
        <v>1.759930000116583E-2</v>
      </c>
      <c r="O165" s="1">
        <f t="shared" ca="1" si="29"/>
        <v>1.9840101672180907E-2</v>
      </c>
      <c r="P165" s="13">
        <f t="shared" si="25"/>
        <v>1.2022219003965499E-2</v>
      </c>
      <c r="Q165" s="114">
        <f t="shared" si="26"/>
        <v>34669.822</v>
      </c>
      <c r="R165" s="1">
        <f t="shared" si="28"/>
        <v>3.1103832449333034E-5</v>
      </c>
    </row>
    <row r="166" spans="1:21" x14ac:dyDescent="0.2">
      <c r="A166" s="1" t="s">
        <v>102</v>
      </c>
      <c r="C166" s="32">
        <v>49778.303</v>
      </c>
      <c r="D166" s="32"/>
      <c r="E166" s="1">
        <f t="shared" si="22"/>
        <v>4862.0127928575239</v>
      </c>
      <c r="F166" s="1">
        <f t="shared" si="23"/>
        <v>4862</v>
      </c>
      <c r="G166" s="1">
        <f t="shared" si="24"/>
        <v>1.0963799999444745E-2</v>
      </c>
      <c r="I166" s="1">
        <f t="shared" si="27"/>
        <v>1.0963799999444745E-2</v>
      </c>
      <c r="O166" s="1">
        <f t="shared" ca="1" si="29"/>
        <v>1.9692582137745315E-2</v>
      </c>
      <c r="P166" s="13">
        <f t="shared" si="25"/>
        <v>1.2121973846654727E-2</v>
      </c>
      <c r="Q166" s="114">
        <f t="shared" si="26"/>
        <v>34759.803</v>
      </c>
      <c r="R166" s="1">
        <f t="shared" si="28"/>
        <v>1.3413666603611689E-6</v>
      </c>
    </row>
    <row r="167" spans="1:21" x14ac:dyDescent="0.2">
      <c r="A167" s="1" t="s">
        <v>102</v>
      </c>
      <c r="C167" s="32">
        <v>49784.29</v>
      </c>
      <c r="D167" s="32"/>
      <c r="E167" s="1">
        <f t="shared" si="22"/>
        <v>4868.9985859223953</v>
      </c>
      <c r="F167" s="1">
        <f t="shared" si="23"/>
        <v>4869</v>
      </c>
      <c r="G167" s="1">
        <f t="shared" si="24"/>
        <v>-1.2119000020902604E-3</v>
      </c>
      <c r="I167" s="1">
        <f t="shared" si="27"/>
        <v>-1.2119000020902604E-3</v>
      </c>
      <c r="O167" s="1">
        <f t="shared" ca="1" si="29"/>
        <v>1.9682747502116273E-2</v>
      </c>
      <c r="P167" s="13">
        <f t="shared" si="25"/>
        <v>1.2128369844981165E-2</v>
      </c>
      <c r="Q167" s="114">
        <f t="shared" si="26"/>
        <v>34765.79</v>
      </c>
      <c r="R167" s="1">
        <f t="shared" si="28"/>
        <v>1.7796279959268307E-4</v>
      </c>
    </row>
    <row r="168" spans="1:21" x14ac:dyDescent="0.2">
      <c r="A168" s="1" t="s">
        <v>103</v>
      </c>
      <c r="C168" s="32">
        <v>49993.415999999997</v>
      </c>
      <c r="D168" s="32"/>
      <c r="E168" s="1">
        <f t="shared" si="22"/>
        <v>5113.0124426927468</v>
      </c>
      <c r="F168" s="1">
        <f t="shared" si="23"/>
        <v>5113</v>
      </c>
      <c r="G168" s="1">
        <f t="shared" si="24"/>
        <v>1.0663699998985976E-2</v>
      </c>
      <c r="I168" s="1">
        <f t="shared" si="27"/>
        <v>1.0663699998985976E-2</v>
      </c>
      <c r="O168" s="1">
        <f t="shared" ca="1" si="29"/>
        <v>1.9339940203046899E-2</v>
      </c>
      <c r="P168" s="13">
        <f t="shared" si="25"/>
        <v>1.23314489156339E-2</v>
      </c>
      <c r="Q168" s="114">
        <f t="shared" si="26"/>
        <v>34974.915999999997</v>
      </c>
      <c r="R168" s="1">
        <f t="shared" si="28"/>
        <v>2.7813864489803256E-6</v>
      </c>
    </row>
    <row r="169" spans="1:21" x14ac:dyDescent="0.2">
      <c r="A169" s="1" t="s">
        <v>103</v>
      </c>
      <c r="C169" s="32">
        <v>50017.406000000003</v>
      </c>
      <c r="D169" s="32"/>
      <c r="E169" s="1">
        <f t="shared" si="22"/>
        <v>5141.0046216849441</v>
      </c>
      <c r="F169" s="1">
        <f t="shared" si="23"/>
        <v>5141</v>
      </c>
      <c r="G169" s="1">
        <f t="shared" si="24"/>
        <v>3.9609000014024787E-3</v>
      </c>
      <c r="I169" s="1">
        <f t="shared" si="27"/>
        <v>3.9609000014024787E-3</v>
      </c>
      <c r="O169" s="1">
        <f t="shared" ca="1" si="29"/>
        <v>1.9300601660530738E-2</v>
      </c>
      <c r="P169" s="13">
        <f t="shared" si="25"/>
        <v>1.2352282490235875E-2</v>
      </c>
      <c r="Q169" s="114">
        <f t="shared" si="26"/>
        <v>34998.906000000003</v>
      </c>
      <c r="R169" s="1">
        <f t="shared" si="28"/>
        <v>7.0415300073899765E-5</v>
      </c>
    </row>
    <row r="170" spans="1:21" x14ac:dyDescent="0.2">
      <c r="A170" s="29" t="s">
        <v>104</v>
      </c>
      <c r="B170" s="29"/>
      <c r="C170" s="30">
        <v>50316.507799999999</v>
      </c>
      <c r="D170" s="31">
        <v>2.0001000000000002</v>
      </c>
      <c r="E170" s="1">
        <f t="shared" si="22"/>
        <v>5490.0046684747012</v>
      </c>
      <c r="F170" s="1">
        <f t="shared" si="23"/>
        <v>5490</v>
      </c>
      <c r="G170" s="1">
        <f t="shared" si="24"/>
        <v>4.001000001153443E-3</v>
      </c>
      <c r="J170" s="1">
        <f>G170</f>
        <v>4.001000001153443E-3</v>
      </c>
      <c r="O170" s="1">
        <f t="shared" ca="1" si="29"/>
        <v>1.8810274827025769E-2</v>
      </c>
      <c r="P170" s="13">
        <f t="shared" si="25"/>
        <v>1.256927668794576E-2</v>
      </c>
      <c r="Q170" s="114">
        <f t="shared" si="26"/>
        <v>35298.007799999999</v>
      </c>
      <c r="R170" s="1">
        <f t="shared" si="28"/>
        <v>7.3415365381428727E-5</v>
      </c>
    </row>
    <row r="171" spans="1:21" x14ac:dyDescent="0.2">
      <c r="A171" s="33" t="s">
        <v>56</v>
      </c>
      <c r="B171" s="34" t="s">
        <v>57</v>
      </c>
      <c r="C171" s="33">
        <v>50369.648999999998</v>
      </c>
      <c r="D171" s="32"/>
      <c r="E171" s="29">
        <f t="shared" si="22"/>
        <v>5552.0112538127487</v>
      </c>
      <c r="F171" s="1">
        <f t="shared" si="23"/>
        <v>5552</v>
      </c>
      <c r="G171" s="1">
        <f t="shared" si="24"/>
        <v>9.644799996749498E-3</v>
      </c>
      <c r="I171" s="1">
        <f>G171</f>
        <v>9.644799996749498E-3</v>
      </c>
      <c r="O171" s="1">
        <f t="shared" ca="1" si="29"/>
        <v>1.8723168054311418E-2</v>
      </c>
      <c r="P171" s="13">
        <f t="shared" si="25"/>
        <v>1.2599559604761681E-2</v>
      </c>
      <c r="Q171" s="114">
        <f t="shared" si="26"/>
        <v>35351.148999999998</v>
      </c>
      <c r="R171" s="1">
        <f t="shared" si="28"/>
        <v>8.7306043411403121E-6</v>
      </c>
    </row>
    <row r="172" spans="1:21" x14ac:dyDescent="0.2">
      <c r="A172" s="29" t="s">
        <v>105</v>
      </c>
      <c r="B172" s="29"/>
      <c r="C172" s="30">
        <v>50485.3482</v>
      </c>
      <c r="D172" s="31">
        <v>3.0001000000000002</v>
      </c>
      <c r="E172" s="1">
        <f t="shared" si="22"/>
        <v>5687.0122006928377</v>
      </c>
      <c r="F172" s="1">
        <f t="shared" si="23"/>
        <v>5687</v>
      </c>
      <c r="G172" s="1">
        <f t="shared" si="24"/>
        <v>1.0456299998622853E-2</v>
      </c>
      <c r="J172" s="1">
        <f>G172</f>
        <v>1.0456299998622853E-2</v>
      </c>
      <c r="O172" s="1">
        <f t="shared" ca="1" si="29"/>
        <v>1.8533500081465655E-2</v>
      </c>
      <c r="P172" s="13">
        <f t="shared" si="25"/>
        <v>1.2656870968298884E-2</v>
      </c>
      <c r="Q172" s="114">
        <f t="shared" si="26"/>
        <v>35466.8482</v>
      </c>
      <c r="R172" s="1">
        <f t="shared" si="28"/>
        <v>4.8425125925809076E-6</v>
      </c>
    </row>
    <row r="173" spans="1:21" x14ac:dyDescent="0.2">
      <c r="A173" s="29" t="s">
        <v>105</v>
      </c>
      <c r="B173" s="29"/>
      <c r="C173" s="30">
        <v>50491.3462</v>
      </c>
      <c r="D173" s="31">
        <v>4.0000999999999998</v>
      </c>
      <c r="E173" s="1">
        <f t="shared" si="22"/>
        <v>5694.0108288543688</v>
      </c>
      <c r="F173" s="1">
        <f t="shared" si="23"/>
        <v>5694</v>
      </c>
      <c r="G173" s="1">
        <f t="shared" si="24"/>
        <v>9.2805999956908636E-3</v>
      </c>
      <c r="J173" s="1">
        <f>G173</f>
        <v>9.2805999956908636E-3</v>
      </c>
      <c r="O173" s="1">
        <f t="shared" ca="1" si="29"/>
        <v>1.8523665445836616E-2</v>
      </c>
      <c r="P173" s="13">
        <f t="shared" si="25"/>
        <v>1.2659520221471774E-2</v>
      </c>
      <c r="Q173" s="114">
        <f t="shared" si="26"/>
        <v>35472.8462</v>
      </c>
      <c r="R173" s="1">
        <f t="shared" si="28"/>
        <v>1.1417101892191317E-5</v>
      </c>
      <c r="U173" s="18"/>
    </row>
    <row r="174" spans="1:21" x14ac:dyDescent="0.2">
      <c r="A174" s="29" t="s">
        <v>106</v>
      </c>
      <c r="B174" s="29"/>
      <c r="C174" s="30">
        <v>50509.351000000002</v>
      </c>
      <c r="D174" s="32"/>
      <c r="E174" s="1">
        <f t="shared" si="22"/>
        <v>5715.0193150702362</v>
      </c>
      <c r="F174" s="1">
        <f t="shared" si="23"/>
        <v>5715</v>
      </c>
      <c r="G174" s="1">
        <f t="shared" si="24"/>
        <v>1.6553499997826293E-2</v>
      </c>
      <c r="I174" s="1">
        <f>G174</f>
        <v>1.6553499997826293E-2</v>
      </c>
      <c r="O174" s="1">
        <f t="shared" ca="1" si="29"/>
        <v>1.8494161538949498E-2</v>
      </c>
      <c r="P174" s="13">
        <f t="shared" si="25"/>
        <v>1.2667277237600808E-2</v>
      </c>
      <c r="Q174" s="114">
        <f t="shared" si="26"/>
        <v>35490.851000000002</v>
      </c>
      <c r="R174" s="1">
        <f t="shared" si="28"/>
        <v>1.5102727342094587E-5</v>
      </c>
    </row>
    <row r="175" spans="1:21" x14ac:dyDescent="0.2">
      <c r="A175" s="29" t="s">
        <v>106</v>
      </c>
      <c r="B175" s="29"/>
      <c r="C175" s="30">
        <v>50509.351000000002</v>
      </c>
      <c r="D175" s="31">
        <v>5.0000999999999998</v>
      </c>
      <c r="E175" s="1">
        <f t="shared" si="22"/>
        <v>5715.0193150702362</v>
      </c>
      <c r="F175" s="1">
        <f t="shared" si="23"/>
        <v>5715</v>
      </c>
      <c r="G175" s="1">
        <f t="shared" si="24"/>
        <v>1.6553499997826293E-2</v>
      </c>
      <c r="I175" s="1">
        <f>G175</f>
        <v>1.6553499997826293E-2</v>
      </c>
      <c r="O175" s="1">
        <f t="shared" ca="1" si="29"/>
        <v>1.8494161538949498E-2</v>
      </c>
      <c r="P175" s="13">
        <f t="shared" si="25"/>
        <v>1.2667277237600808E-2</v>
      </c>
      <c r="Q175" s="114">
        <f t="shared" si="26"/>
        <v>35490.851000000002</v>
      </c>
      <c r="R175" s="1">
        <f t="shared" si="28"/>
        <v>1.5102727342094587E-5</v>
      </c>
    </row>
    <row r="176" spans="1:21" x14ac:dyDescent="0.2">
      <c r="A176" s="29" t="s">
        <v>107</v>
      </c>
      <c r="B176" s="29"/>
      <c r="C176" s="30">
        <v>50515.339</v>
      </c>
      <c r="D176" s="31">
        <v>6.0000999999999998</v>
      </c>
      <c r="E176" s="1">
        <f t="shared" si="22"/>
        <v>5722.0062749620738</v>
      </c>
      <c r="F176" s="1">
        <f t="shared" si="23"/>
        <v>5722</v>
      </c>
      <c r="G176" s="1">
        <f t="shared" si="24"/>
        <v>5.3778000001329929E-3</v>
      </c>
      <c r="I176" s="1">
        <f>G176</f>
        <v>5.3778000001329929E-3</v>
      </c>
      <c r="O176" s="1">
        <f t="shared" ca="1" si="29"/>
        <v>1.8484326903320455E-2</v>
      </c>
      <c r="P176" s="13">
        <f t="shared" si="25"/>
        <v>1.2669799328513944E-2</v>
      </c>
      <c r="Q176" s="114">
        <f t="shared" si="26"/>
        <v>35496.839</v>
      </c>
      <c r="R176" s="1">
        <f t="shared" si="28"/>
        <v>5.3173254205108244E-5</v>
      </c>
    </row>
    <row r="177" spans="1:21" x14ac:dyDescent="0.2">
      <c r="A177" s="29" t="s">
        <v>108</v>
      </c>
      <c r="B177" s="29"/>
      <c r="C177" s="30">
        <v>50670.460899999998</v>
      </c>
      <c r="D177" s="31">
        <v>7.0000999999999998</v>
      </c>
      <c r="E177" s="1">
        <f t="shared" si="22"/>
        <v>5903.0066914026165</v>
      </c>
      <c r="F177" s="1">
        <f t="shared" si="23"/>
        <v>5903</v>
      </c>
      <c r="G177" s="1">
        <f t="shared" si="24"/>
        <v>5.7346999965375289E-3</v>
      </c>
      <c r="J177" s="1">
        <f>G177</f>
        <v>5.7346999965375289E-3</v>
      </c>
      <c r="O177" s="1">
        <f t="shared" ca="1" si="29"/>
        <v>1.8230031324912438E-2</v>
      </c>
      <c r="P177" s="13">
        <f t="shared" si="25"/>
        <v>1.2723974930862206E-2</v>
      </c>
      <c r="Q177" s="114">
        <f t="shared" si="26"/>
        <v>35651.960899999998</v>
      </c>
      <c r="R177" s="1">
        <f t="shared" si="28"/>
        <v>4.8849964107579218E-5</v>
      </c>
    </row>
    <row r="178" spans="1:21" x14ac:dyDescent="0.2">
      <c r="A178" s="29" t="s">
        <v>109</v>
      </c>
      <c r="B178" s="29"/>
      <c r="C178" s="30">
        <v>50670.472800000003</v>
      </c>
      <c r="D178" s="31">
        <v>8.0000999999999998</v>
      </c>
      <c r="E178" s="1">
        <f t="shared" si="22"/>
        <v>5903.0205766435565</v>
      </c>
      <c r="F178" s="1">
        <f t="shared" si="23"/>
        <v>5903</v>
      </c>
      <c r="G178" s="1">
        <f t="shared" si="24"/>
        <v>1.7634700001508463E-2</v>
      </c>
      <c r="J178" s="1">
        <f>G178</f>
        <v>1.7634700001508463E-2</v>
      </c>
      <c r="O178" s="1">
        <f t="shared" ca="1" si="29"/>
        <v>1.8230031324912438E-2</v>
      </c>
      <c r="P178" s="13">
        <f t="shared" si="25"/>
        <v>1.2723974930862206E-2</v>
      </c>
      <c r="Q178" s="114">
        <f t="shared" si="26"/>
        <v>35651.972800000003</v>
      </c>
      <c r="R178" s="1">
        <f t="shared" si="28"/>
        <v>2.4115220719473689E-5</v>
      </c>
    </row>
    <row r="179" spans="1:21" x14ac:dyDescent="0.2">
      <c r="A179" s="29" t="s">
        <v>110</v>
      </c>
      <c r="B179" s="29"/>
      <c r="C179" s="30">
        <v>50694.467100000002</v>
      </c>
      <c r="D179" s="31">
        <v>9.0000999999999998</v>
      </c>
      <c r="E179" s="1">
        <f t="shared" si="22"/>
        <v>5931.0177729917132</v>
      </c>
      <c r="F179" s="1">
        <f t="shared" si="23"/>
        <v>5931</v>
      </c>
      <c r="G179" s="1">
        <f t="shared" si="24"/>
        <v>1.5231899997161236E-2</v>
      </c>
      <c r="J179" s="1">
        <f>G179</f>
        <v>1.5231899997161236E-2</v>
      </c>
      <c r="O179" s="1">
        <f t="shared" ca="1" si="29"/>
        <v>1.8190692782396278E-2</v>
      </c>
      <c r="P179" s="13">
        <f t="shared" si="25"/>
        <v>1.273045733614878E-2</v>
      </c>
      <c r="Q179" s="114">
        <f t="shared" si="26"/>
        <v>35675.967100000002</v>
      </c>
      <c r="R179" s="1">
        <f t="shared" si="28"/>
        <v>6.2572153863330776E-6</v>
      </c>
      <c r="U179" s="18"/>
    </row>
    <row r="180" spans="1:21" x14ac:dyDescent="0.2">
      <c r="A180" s="29" t="s">
        <v>111</v>
      </c>
      <c r="B180" s="29"/>
      <c r="C180" s="30">
        <v>50700.459000000003</v>
      </c>
      <c r="D180" s="32"/>
      <c r="E180" s="1">
        <f t="shared" si="22"/>
        <v>5938.0092835087344</v>
      </c>
      <c r="F180" s="1">
        <f t="shared" si="23"/>
        <v>5938</v>
      </c>
      <c r="G180" s="1">
        <f t="shared" si="24"/>
        <v>7.9562000028090551E-3</v>
      </c>
      <c r="I180" s="1">
        <f>G180</f>
        <v>7.9562000028090551E-3</v>
      </c>
      <c r="O180" s="1">
        <f t="shared" ca="1" si="29"/>
        <v>1.8180858146767238E-2</v>
      </c>
      <c r="P180" s="13">
        <f t="shared" si="25"/>
        <v>1.2731998461058078E-2</v>
      </c>
      <c r="Q180" s="114">
        <f t="shared" si="26"/>
        <v>35681.959000000003</v>
      </c>
      <c r="R180" s="1">
        <f t="shared" si="28"/>
        <v>2.280825091381375E-5</v>
      </c>
    </row>
    <row r="181" spans="1:21" x14ac:dyDescent="0.2">
      <c r="A181" s="29" t="s">
        <v>111</v>
      </c>
      <c r="B181" s="29"/>
      <c r="C181" s="30">
        <v>50731.32</v>
      </c>
      <c r="D181" s="32"/>
      <c r="E181" s="1">
        <f t="shared" si="22"/>
        <v>5974.0187306066045</v>
      </c>
      <c r="F181" s="1">
        <f t="shared" si="23"/>
        <v>5974</v>
      </c>
      <c r="G181" s="1">
        <f t="shared" ref="G181:G189" si="30">+C181-(C$7+F181*C$8)</f>
        <v>1.6052599996328354E-2</v>
      </c>
      <c r="I181" s="1">
        <f>G181</f>
        <v>1.6052599996328354E-2</v>
      </c>
      <c r="O181" s="1">
        <f t="shared" ca="1" si="29"/>
        <v>1.8130280020675037E-2</v>
      </c>
      <c r="P181" s="13">
        <f t="shared" si="25"/>
        <v>1.2739422085137253E-2</v>
      </c>
      <c r="Q181" s="114">
        <f t="shared" si="26"/>
        <v>35712.82</v>
      </c>
      <c r="R181" s="1">
        <f t="shared" si="28"/>
        <v>1.0977147871204624E-5</v>
      </c>
    </row>
    <row r="182" spans="1:21" x14ac:dyDescent="0.2">
      <c r="A182" s="29" t="s">
        <v>112</v>
      </c>
      <c r="B182" s="29"/>
      <c r="C182" s="30">
        <v>50743.311999999998</v>
      </c>
      <c r="D182" s="32"/>
      <c r="E182" s="1">
        <f t="shared" si="22"/>
        <v>5988.0113196217899</v>
      </c>
      <c r="F182" s="1">
        <f t="shared" si="23"/>
        <v>5988</v>
      </c>
      <c r="G182" s="1">
        <f t="shared" si="30"/>
        <v>9.7011999969254248E-3</v>
      </c>
      <c r="I182" s="1">
        <f>G182</f>
        <v>9.7011999969254248E-3</v>
      </c>
      <c r="O182" s="1">
        <f t="shared" ca="1" si="29"/>
        <v>1.8110610749416955E-2</v>
      </c>
      <c r="P182" s="13">
        <f t="shared" si="25"/>
        <v>1.2742081974593084E-2</v>
      </c>
      <c r="Q182" s="114">
        <f t="shared" si="26"/>
        <v>35724.811999999998</v>
      </c>
      <c r="R182" s="1">
        <f t="shared" si="28"/>
        <v>9.246963202103974E-6</v>
      </c>
    </row>
    <row r="183" spans="1:21" x14ac:dyDescent="0.2">
      <c r="A183" s="29" t="s">
        <v>111</v>
      </c>
      <c r="B183" s="29"/>
      <c r="C183" s="30">
        <v>50755.311999999998</v>
      </c>
      <c r="D183" s="30"/>
      <c r="E183" s="1">
        <f t="shared" si="22"/>
        <v>6002.0132432527316</v>
      </c>
      <c r="F183" s="1">
        <f t="shared" si="23"/>
        <v>6002</v>
      </c>
      <c r="G183" s="1">
        <f t="shared" si="30"/>
        <v>1.134979999915231E-2</v>
      </c>
      <c r="I183" s="1">
        <f>G183</f>
        <v>1.134979999915231E-2</v>
      </c>
      <c r="O183" s="1">
        <f t="shared" ca="1" si="29"/>
        <v>1.8090941478158876E-2</v>
      </c>
      <c r="P183" s="13">
        <f t="shared" si="25"/>
        <v>1.2744614701789152E-2</v>
      </c>
      <c r="Q183" s="114">
        <f t="shared" si="26"/>
        <v>35736.811999999998</v>
      </c>
      <c r="R183" s="1">
        <f t="shared" si="28"/>
        <v>1.9455080546919027E-6</v>
      </c>
    </row>
    <row r="184" spans="1:21" x14ac:dyDescent="0.2">
      <c r="A184" s="29" t="s">
        <v>113</v>
      </c>
      <c r="B184" s="29"/>
      <c r="C184" s="30">
        <v>50875.286999999997</v>
      </c>
      <c r="D184" s="30"/>
      <c r="E184" s="1">
        <f t="shared" si="22"/>
        <v>6142.0033088879136</v>
      </c>
      <c r="F184" s="1">
        <f t="shared" si="23"/>
        <v>6142</v>
      </c>
      <c r="G184" s="1">
        <f t="shared" si="30"/>
        <v>2.8357999981380999E-3</v>
      </c>
      <c r="I184" s="1">
        <f>G184</f>
        <v>2.8357999981380999E-3</v>
      </c>
      <c r="O184" s="1">
        <f t="shared" ca="1" si="29"/>
        <v>1.7894248765578089E-2</v>
      </c>
      <c r="P184" s="13">
        <f t="shared" si="25"/>
        <v>1.2762948049463256E-2</v>
      </c>
      <c r="Q184" s="114">
        <f t="shared" si="26"/>
        <v>35856.786999999997</v>
      </c>
      <c r="R184" s="1">
        <f t="shared" si="28"/>
        <v>9.8548268432928845E-5</v>
      </c>
    </row>
    <row r="185" spans="1:21" x14ac:dyDescent="0.2">
      <c r="A185" s="29" t="s">
        <v>114</v>
      </c>
      <c r="B185" s="29"/>
      <c r="C185" s="30">
        <v>51906.298300000002</v>
      </c>
      <c r="D185" s="36">
        <v>6.9999999999999999E-4</v>
      </c>
      <c r="E185" s="1">
        <f t="shared" si="22"/>
        <v>7345.015099324396</v>
      </c>
      <c r="F185" s="1">
        <f t="shared" si="23"/>
        <v>7345</v>
      </c>
      <c r="G185" s="1">
        <f t="shared" si="30"/>
        <v>1.2940499997057486E-2</v>
      </c>
      <c r="J185" s="1">
        <f>G185</f>
        <v>1.2940499997057486E-2</v>
      </c>
      <c r="O185" s="1">
        <f t="shared" ca="1" si="29"/>
        <v>1.6204096385330293E-2</v>
      </c>
      <c r="P185" s="13">
        <f t="shared" si="25"/>
        <v>1.239638430899645E-2</v>
      </c>
      <c r="Q185" s="114">
        <f t="shared" si="26"/>
        <v>36887.798300000002</v>
      </c>
      <c r="R185" s="1">
        <f t="shared" si="28"/>
        <v>2.9606188199413516E-7</v>
      </c>
    </row>
    <row r="186" spans="1:21" x14ac:dyDescent="0.2">
      <c r="A186" s="33" t="s">
        <v>115</v>
      </c>
      <c r="B186" s="34" t="s">
        <v>57</v>
      </c>
      <c r="C186" s="33">
        <v>52585.058599999997</v>
      </c>
      <c r="D186" s="32"/>
      <c r="E186" s="29">
        <f t="shared" si="22"/>
        <v>8137.010923017302</v>
      </c>
      <c r="F186" s="1">
        <f t="shared" si="23"/>
        <v>8137</v>
      </c>
      <c r="G186" s="1">
        <f t="shared" si="30"/>
        <v>9.361299999000039E-3</v>
      </c>
      <c r="K186" s="1">
        <f>G186</f>
        <v>9.361299999000039E-3</v>
      </c>
      <c r="O186" s="1">
        <f t="shared" ca="1" si="29"/>
        <v>1.5091377611301819E-2</v>
      </c>
      <c r="P186" s="13">
        <f t="shared" si="25"/>
        <v>1.1642500825150465E-2</v>
      </c>
      <c r="Q186" s="114">
        <f t="shared" si="26"/>
        <v>37566.558599999997</v>
      </c>
      <c r="R186" s="1">
        <f t="shared" si="28"/>
        <v>5.2038772092293885E-6</v>
      </c>
    </row>
    <row r="187" spans="1:21" x14ac:dyDescent="0.2">
      <c r="A187" s="33" t="s">
        <v>56</v>
      </c>
      <c r="B187" s="34" t="s">
        <v>57</v>
      </c>
      <c r="C187" s="33">
        <v>52586.769800000002</v>
      </c>
      <c r="D187" s="32"/>
      <c r="E187" s="29">
        <f t="shared" si="22"/>
        <v>8139.0075973270796</v>
      </c>
      <c r="F187" s="1">
        <f t="shared" si="23"/>
        <v>8139</v>
      </c>
      <c r="G187" s="1">
        <f t="shared" si="30"/>
        <v>6.5111000003525987E-3</v>
      </c>
      <c r="K187" s="1">
        <f>G187</f>
        <v>6.5111000003525987E-3</v>
      </c>
      <c r="O187" s="1">
        <f t="shared" ca="1" si="29"/>
        <v>1.5088567715407808E-2</v>
      </c>
      <c r="P187" s="13">
        <f t="shared" si="25"/>
        <v>1.1640081942069717E-2</v>
      </c>
      <c r="Q187" s="114">
        <f t="shared" si="26"/>
        <v>37568.269800000002</v>
      </c>
      <c r="R187" s="1">
        <f t="shared" si="28"/>
        <v>2.6306455758460304E-5</v>
      </c>
    </row>
    <row r="188" spans="1:21" x14ac:dyDescent="0.2">
      <c r="A188" s="29" t="s">
        <v>116</v>
      </c>
      <c r="B188" s="29"/>
      <c r="C188" s="30">
        <v>52591.910600000003</v>
      </c>
      <c r="D188" s="30">
        <v>2.9999999999999997E-4</v>
      </c>
      <c r="E188" s="1">
        <f t="shared" si="22"/>
        <v>8145.006021410577</v>
      </c>
      <c r="F188" s="1">
        <f t="shared" si="23"/>
        <v>8145</v>
      </c>
      <c r="G188" s="1">
        <f t="shared" si="30"/>
        <v>5.1605000044219196E-3</v>
      </c>
      <c r="K188" s="1">
        <f>G188</f>
        <v>5.1605000044219196E-3</v>
      </c>
      <c r="O188" s="1">
        <f t="shared" ca="1" si="29"/>
        <v>1.5080138027725775E-2</v>
      </c>
      <c r="P188" s="13">
        <f t="shared" si="25"/>
        <v>1.163280972193852E-2</v>
      </c>
      <c r="Q188" s="114">
        <f t="shared" si="26"/>
        <v>37573.410600000003</v>
      </c>
      <c r="R188" s="1">
        <f t="shared" si="28"/>
        <v>4.1890793079459818E-5</v>
      </c>
    </row>
    <row r="189" spans="1:21" x14ac:dyDescent="0.2">
      <c r="A189" s="33" t="s">
        <v>56</v>
      </c>
      <c r="B189" s="34" t="s">
        <v>57</v>
      </c>
      <c r="C189" s="33">
        <v>52611.623</v>
      </c>
      <c r="D189" s="32"/>
      <c r="E189" s="29">
        <f t="shared" si="22"/>
        <v>8168.0069813591199</v>
      </c>
      <c r="F189" s="1">
        <f t="shared" si="23"/>
        <v>8168</v>
      </c>
      <c r="G189" s="1">
        <f t="shared" si="30"/>
        <v>5.9831999969901517E-3</v>
      </c>
      <c r="I189" s="1">
        <f>G189</f>
        <v>5.9831999969901517E-3</v>
      </c>
      <c r="O189" s="1">
        <f t="shared" ca="1" si="29"/>
        <v>1.5047824224944646E-2</v>
      </c>
      <c r="P189" s="13">
        <f t="shared" si="25"/>
        <v>1.1604716507624548E-2</v>
      </c>
      <c r="Q189" s="114">
        <f t="shared" si="26"/>
        <v>37593.123</v>
      </c>
      <c r="R189" s="1">
        <f t="shared" si="28"/>
        <v>3.1601447879335112E-5</v>
      </c>
    </row>
    <row r="190" spans="1:21" x14ac:dyDescent="0.2">
      <c r="A190" s="29" t="s">
        <v>117</v>
      </c>
      <c r="B190" s="29"/>
      <c r="C190" s="30">
        <v>52622.299099999997</v>
      </c>
      <c r="D190" s="35"/>
      <c r="E190" s="1">
        <f t="shared" si="22"/>
        <v>8180.4641427654742</v>
      </c>
      <c r="F190" s="1">
        <f t="shared" si="23"/>
        <v>8180.5</v>
      </c>
      <c r="O190" s="1">
        <f t="shared" ca="1" si="29"/>
        <v>1.5030262375607074E-2</v>
      </c>
      <c r="P190" s="13">
        <f t="shared" si="25"/>
        <v>1.1589304506742542E-2</v>
      </c>
      <c r="Q190" s="114">
        <f t="shared" si="26"/>
        <v>37603.799099999997</v>
      </c>
      <c r="U190" s="18">
        <v>3.5215299998526461E-2</v>
      </c>
    </row>
    <row r="191" spans="1:21" x14ac:dyDescent="0.2">
      <c r="A191" s="30" t="s">
        <v>118</v>
      </c>
      <c r="B191" s="37" t="s">
        <v>57</v>
      </c>
      <c r="C191" s="30">
        <v>52697.330280000002</v>
      </c>
      <c r="D191" s="30">
        <v>2.3E-3</v>
      </c>
      <c r="E191" s="1">
        <f t="shared" si="22"/>
        <v>8268.0125471237661</v>
      </c>
      <c r="F191" s="1">
        <f t="shared" si="23"/>
        <v>8268</v>
      </c>
      <c r="G191" s="1">
        <f t="shared" ref="G191:G222" si="31">+C191-(C$7+F191*C$8)</f>
        <v>1.0753200003819074E-2</v>
      </c>
      <c r="K191" s="1">
        <f>G191</f>
        <v>1.0753200003819074E-2</v>
      </c>
      <c r="O191" s="1">
        <f t="shared" ca="1" si="29"/>
        <v>1.490732943024408E-2</v>
      </c>
      <c r="P191" s="13">
        <f t="shared" si="25"/>
        <v>1.1478582057270408E-2</v>
      </c>
      <c r="Q191" s="114">
        <f t="shared" si="26"/>
        <v>37678.830280000002</v>
      </c>
      <c r="R191" s="1">
        <f t="shared" ref="R191:R222" si="32">+(P191-G191)^2</f>
        <v>5.2617912346927363E-7</v>
      </c>
    </row>
    <row r="192" spans="1:21" x14ac:dyDescent="0.2">
      <c r="A192" s="33" t="s">
        <v>119</v>
      </c>
      <c r="B192" s="34" t="s">
        <v>57</v>
      </c>
      <c r="C192" s="33">
        <v>52906.432000000001</v>
      </c>
      <c r="D192" s="32"/>
      <c r="E192" s="29">
        <f t="shared" si="22"/>
        <v>8511.9980733353077</v>
      </c>
      <c r="F192" s="1">
        <f t="shared" si="23"/>
        <v>8512</v>
      </c>
      <c r="G192" s="1">
        <f t="shared" si="31"/>
        <v>-1.6512000001966953E-3</v>
      </c>
      <c r="I192" s="1">
        <f>G192</f>
        <v>-1.6512000001966953E-3</v>
      </c>
      <c r="O192" s="1">
        <f t="shared" ca="1" si="29"/>
        <v>1.4564522131174703E-2</v>
      </c>
      <c r="P192" s="13">
        <f t="shared" si="25"/>
        <v>1.1143585703929433E-2</v>
      </c>
      <c r="Q192" s="114">
        <f t="shared" si="26"/>
        <v>37887.932000000001</v>
      </c>
      <c r="R192" s="1">
        <f t="shared" si="32"/>
        <v>1.6370654121451034E-4</v>
      </c>
    </row>
    <row r="193" spans="1:18" x14ac:dyDescent="0.2">
      <c r="A193" s="30" t="s">
        <v>118</v>
      </c>
      <c r="B193" s="37" t="s">
        <v>57</v>
      </c>
      <c r="C193" s="30">
        <v>52906.432030000004</v>
      </c>
      <c r="D193" s="30" t="s">
        <v>35</v>
      </c>
      <c r="E193" s="1">
        <f t="shared" si="22"/>
        <v>8511.9981083401199</v>
      </c>
      <c r="F193" s="1">
        <f t="shared" si="23"/>
        <v>8512</v>
      </c>
      <c r="G193" s="1">
        <f t="shared" si="31"/>
        <v>-1.6211999973165803E-3</v>
      </c>
      <c r="K193" s="1">
        <f>G193</f>
        <v>-1.6211999973165803E-3</v>
      </c>
      <c r="O193" s="1">
        <f t="shared" ca="1" si="29"/>
        <v>1.4564522131174703E-2</v>
      </c>
      <c r="P193" s="13">
        <f t="shared" si="25"/>
        <v>1.1143585703929433E-2</v>
      </c>
      <c r="Q193" s="114">
        <f t="shared" si="26"/>
        <v>37887.932030000004</v>
      </c>
      <c r="R193" s="1">
        <f t="shared" si="32"/>
        <v>1.6293975399873467E-4</v>
      </c>
    </row>
    <row r="194" spans="1:18" x14ac:dyDescent="0.2">
      <c r="A194" s="38" t="s">
        <v>120</v>
      </c>
      <c r="B194" s="39"/>
      <c r="C194" s="30">
        <v>52931.294000000002</v>
      </c>
      <c r="D194" s="30">
        <v>8.9999999999999998E-4</v>
      </c>
      <c r="E194" s="1">
        <f t="shared" si="22"/>
        <v>8541.0077254446805</v>
      </c>
      <c r="F194" s="1">
        <f t="shared" si="23"/>
        <v>8541</v>
      </c>
      <c r="G194" s="1">
        <f t="shared" si="31"/>
        <v>6.6208999996888451E-3</v>
      </c>
      <c r="I194" s="1">
        <f>G194</f>
        <v>6.6208999996888451E-3</v>
      </c>
      <c r="O194" s="1">
        <f t="shared" ca="1" si="29"/>
        <v>1.4523778640711539E-2</v>
      </c>
      <c r="P194" s="13">
        <f t="shared" si="25"/>
        <v>1.1101202340077179E-2</v>
      </c>
      <c r="Q194" s="114">
        <f t="shared" si="26"/>
        <v>37912.794000000002</v>
      </c>
      <c r="R194" s="1">
        <f t="shared" si="32"/>
        <v>2.0073109061289184E-5</v>
      </c>
    </row>
    <row r="195" spans="1:18" x14ac:dyDescent="0.2">
      <c r="A195" s="38" t="s">
        <v>120</v>
      </c>
      <c r="B195" s="39"/>
      <c r="C195" s="30">
        <v>52937.301899999999</v>
      </c>
      <c r="D195" s="30">
        <v>1E-3</v>
      </c>
      <c r="E195" s="1">
        <f t="shared" si="22"/>
        <v>8548.0179051932046</v>
      </c>
      <c r="F195" s="1">
        <f t="shared" si="23"/>
        <v>8548</v>
      </c>
      <c r="G195" s="1">
        <f t="shared" si="31"/>
        <v>1.5345199994044378E-2</v>
      </c>
      <c r="J195" s="1">
        <f>G195</f>
        <v>1.5345199994044378E-2</v>
      </c>
      <c r="O195" s="1">
        <f t="shared" ca="1" si="29"/>
        <v>1.45139440050825E-2</v>
      </c>
      <c r="P195" s="13">
        <f t="shared" si="25"/>
        <v>1.1090890125773439E-2</v>
      </c>
      <c r="Q195" s="114">
        <f t="shared" si="26"/>
        <v>37918.801899999999</v>
      </c>
      <c r="R195" s="1">
        <f t="shared" si="32"/>
        <v>1.8099152455267493E-5</v>
      </c>
    </row>
    <row r="196" spans="1:18" x14ac:dyDescent="0.2">
      <c r="A196" s="29" t="s">
        <v>121</v>
      </c>
      <c r="B196" s="29"/>
      <c r="C196" s="30">
        <v>53028.141900000002</v>
      </c>
      <c r="D196" s="30">
        <v>1E-4</v>
      </c>
      <c r="E196" s="1">
        <f t="shared" si="22"/>
        <v>8654.0124670794376</v>
      </c>
      <c r="F196" s="1">
        <f t="shared" si="23"/>
        <v>8654</v>
      </c>
      <c r="G196" s="1">
        <f t="shared" si="31"/>
        <v>1.068459999805782E-2</v>
      </c>
      <c r="K196" s="1">
        <f>G196</f>
        <v>1.068459999805782E-2</v>
      </c>
      <c r="O196" s="1">
        <f t="shared" ref="O196:O227" ca="1" si="33">+C$11+C$12*F196</f>
        <v>1.43650195226999E-2</v>
      </c>
      <c r="P196" s="13">
        <f t="shared" si="25"/>
        <v>1.0930848152165395E-2</v>
      </c>
      <c r="Q196" s="114">
        <f t="shared" si="26"/>
        <v>38009.641900000002</v>
      </c>
      <c r="R196" s="1">
        <f t="shared" si="32"/>
        <v>6.0638153401387965E-8</v>
      </c>
    </row>
    <row r="197" spans="1:18" x14ac:dyDescent="0.2">
      <c r="A197" s="33" t="s">
        <v>119</v>
      </c>
      <c r="B197" s="34" t="s">
        <v>57</v>
      </c>
      <c r="C197" s="33">
        <v>53236.423000000003</v>
      </c>
      <c r="D197" s="32"/>
      <c r="E197" s="29">
        <f t="shared" si="22"/>
        <v>8897.0404717434776</v>
      </c>
      <c r="F197" s="1">
        <f t="shared" si="23"/>
        <v>8897</v>
      </c>
      <c r="G197" s="1">
        <f t="shared" si="31"/>
        <v>3.4685300001001451E-2</v>
      </c>
      <c r="I197" s="1">
        <f>G197</f>
        <v>3.4685300001001451E-2</v>
      </c>
      <c r="O197" s="1">
        <f t="shared" ca="1" si="33"/>
        <v>1.4023617171577529E-2</v>
      </c>
      <c r="P197" s="13">
        <f t="shared" si="25"/>
        <v>1.0536448635586025E-2</v>
      </c>
      <c r="Q197" s="114">
        <f t="shared" si="26"/>
        <v>38217.923000000003</v>
      </c>
      <c r="R197" s="1">
        <f t="shared" si="32"/>
        <v>5.831670222689265E-4</v>
      </c>
    </row>
    <row r="198" spans="1:18" x14ac:dyDescent="0.2">
      <c r="A198" s="30" t="s">
        <v>118</v>
      </c>
      <c r="B198" s="37" t="s">
        <v>57</v>
      </c>
      <c r="C198" s="30">
        <v>53236.42353</v>
      </c>
      <c r="D198" s="30" t="s">
        <v>35</v>
      </c>
      <c r="E198" s="1">
        <f t="shared" si="22"/>
        <v>8897.0410901617688</v>
      </c>
      <c r="F198" s="1">
        <f t="shared" si="23"/>
        <v>8897</v>
      </c>
      <c r="G198" s="1">
        <f t="shared" si="31"/>
        <v>3.5215299998526461E-2</v>
      </c>
      <c r="K198" s="1">
        <f>G198</f>
        <v>3.5215299998526461E-2</v>
      </c>
      <c r="O198" s="1">
        <f t="shared" ca="1" si="33"/>
        <v>1.4023617171577529E-2</v>
      </c>
      <c r="P198" s="13">
        <f t="shared" si="25"/>
        <v>1.0536448635586025E-2</v>
      </c>
      <c r="Q198" s="114">
        <f t="shared" si="26"/>
        <v>38217.92353</v>
      </c>
      <c r="R198" s="1">
        <f t="shared" si="32"/>
        <v>6.0904570459410703E-4</v>
      </c>
    </row>
    <row r="199" spans="1:18" x14ac:dyDescent="0.2">
      <c r="A199" s="38" t="s">
        <v>122</v>
      </c>
      <c r="B199" s="40"/>
      <c r="C199" s="30">
        <v>53253.5389</v>
      </c>
      <c r="D199" s="30">
        <v>4.0000000000000002E-4</v>
      </c>
      <c r="E199" s="1">
        <f t="shared" si="22"/>
        <v>8917.0117654663773</v>
      </c>
      <c r="F199" s="1">
        <f t="shared" si="23"/>
        <v>8917</v>
      </c>
      <c r="G199" s="1">
        <f t="shared" si="31"/>
        <v>1.0083299996040296E-2</v>
      </c>
      <c r="J199" s="1">
        <f>G199</f>
        <v>1.0083299996040296E-2</v>
      </c>
      <c r="O199" s="1">
        <f t="shared" ca="1" si="33"/>
        <v>1.3995518212637415E-2</v>
      </c>
      <c r="P199" s="13">
        <f t="shared" si="25"/>
        <v>1.0502281460109859E-2</v>
      </c>
      <c r="Q199" s="114">
        <f t="shared" si="26"/>
        <v>38235.0389</v>
      </c>
      <c r="R199" s="1">
        <f t="shared" si="32"/>
        <v>1.755454672338744E-7</v>
      </c>
    </row>
    <row r="200" spans="1:18" x14ac:dyDescent="0.2">
      <c r="A200" s="41" t="s">
        <v>123</v>
      </c>
      <c r="B200" s="42" t="s">
        <v>57</v>
      </c>
      <c r="C200" s="43">
        <v>53308.382100000003</v>
      </c>
      <c r="D200" s="35">
        <v>2.9999999999999997E-4</v>
      </c>
      <c r="E200" s="1">
        <f t="shared" si="22"/>
        <v>8981.0042903060839</v>
      </c>
      <c r="F200" s="1">
        <f t="shared" si="23"/>
        <v>8981</v>
      </c>
      <c r="G200" s="1">
        <f t="shared" si="31"/>
        <v>3.676899999845773E-3</v>
      </c>
      <c r="K200" s="1">
        <f>G200</f>
        <v>3.676899999845773E-3</v>
      </c>
      <c r="O200" s="1">
        <f t="shared" ca="1" si="33"/>
        <v>1.3905601544029055E-2</v>
      </c>
      <c r="P200" s="13">
        <f t="shared" si="25"/>
        <v>1.0391202559023736E-2</v>
      </c>
      <c r="Q200" s="114">
        <f t="shared" si="26"/>
        <v>38289.882100000003</v>
      </c>
      <c r="R200" s="1">
        <f t="shared" si="32"/>
        <v>4.508185885618374E-5</v>
      </c>
    </row>
    <row r="201" spans="1:18" x14ac:dyDescent="0.2">
      <c r="A201" s="33" t="s">
        <v>56</v>
      </c>
      <c r="B201" s="34" t="s">
        <v>57</v>
      </c>
      <c r="C201" s="33">
        <v>53312.671000000002</v>
      </c>
      <c r="D201" s="32"/>
      <c r="E201" s="29">
        <f t="shared" si="22"/>
        <v>8986.0086944944796</v>
      </c>
      <c r="F201" s="1">
        <f t="shared" si="23"/>
        <v>8986</v>
      </c>
      <c r="G201" s="1">
        <f t="shared" si="31"/>
        <v>7.4514000007184222E-3</v>
      </c>
      <c r="I201" s="1">
        <f>G201</f>
        <v>7.4514000007184222E-3</v>
      </c>
      <c r="O201" s="1">
        <f t="shared" ca="1" si="33"/>
        <v>1.3898576804294027E-2</v>
      </c>
      <c r="P201" s="13">
        <f t="shared" si="25"/>
        <v>1.0382412604112053E-2</v>
      </c>
      <c r="Q201" s="114">
        <f t="shared" si="26"/>
        <v>38294.171000000002</v>
      </c>
      <c r="R201" s="1">
        <f t="shared" si="32"/>
        <v>8.5908348812523063E-6</v>
      </c>
    </row>
    <row r="202" spans="1:18" x14ac:dyDescent="0.2">
      <c r="A202" s="33" t="s">
        <v>119</v>
      </c>
      <c r="B202" s="34" t="s">
        <v>57</v>
      </c>
      <c r="C202" s="33">
        <v>53350.379000000001</v>
      </c>
      <c r="D202" s="32"/>
      <c r="E202" s="29">
        <f t="shared" si="22"/>
        <v>9030.0074058507726</v>
      </c>
      <c r="F202" s="1">
        <f t="shared" si="23"/>
        <v>9030</v>
      </c>
      <c r="G202" s="1">
        <f t="shared" si="31"/>
        <v>6.3470000022789463E-3</v>
      </c>
      <c r="I202" s="1">
        <f>G202</f>
        <v>6.3470000022789463E-3</v>
      </c>
      <c r="O202" s="1">
        <f t="shared" ca="1" si="33"/>
        <v>1.3836759094625778E-2</v>
      </c>
      <c r="P202" s="13">
        <f t="shared" si="25"/>
        <v>1.030436160846061E-2</v>
      </c>
      <c r="Q202" s="114">
        <f t="shared" si="26"/>
        <v>38331.879000000001</v>
      </c>
      <c r="R202" s="1">
        <f t="shared" si="32"/>
        <v>1.5660710882080716E-5</v>
      </c>
    </row>
    <row r="203" spans="1:18" x14ac:dyDescent="0.2">
      <c r="A203" s="30" t="s">
        <v>118</v>
      </c>
      <c r="B203" s="37" t="s">
        <v>57</v>
      </c>
      <c r="C203" s="30">
        <v>53350.379150000001</v>
      </c>
      <c r="D203" s="30" t="s">
        <v>35</v>
      </c>
      <c r="E203" s="1">
        <f t="shared" si="22"/>
        <v>9030.0075808748188</v>
      </c>
      <c r="F203" s="1">
        <f t="shared" si="23"/>
        <v>9030</v>
      </c>
      <c r="G203" s="1">
        <f t="shared" si="31"/>
        <v>6.4970000021276064E-3</v>
      </c>
      <c r="K203" s="1">
        <f>G203</f>
        <v>6.4970000021276064E-3</v>
      </c>
      <c r="L203" s="29"/>
      <c r="O203" s="1">
        <f t="shared" ca="1" si="33"/>
        <v>1.3836759094625778E-2</v>
      </c>
      <c r="P203" s="13">
        <f t="shared" si="25"/>
        <v>1.030436160846061E-2</v>
      </c>
      <c r="Q203" s="114">
        <f t="shared" si="26"/>
        <v>38331.879150000001</v>
      </c>
      <c r="R203" s="1">
        <f t="shared" si="32"/>
        <v>1.4496002401378627E-5</v>
      </c>
    </row>
    <row r="204" spans="1:18" x14ac:dyDescent="0.2">
      <c r="A204" s="33" t="s">
        <v>124</v>
      </c>
      <c r="B204" s="34" t="s">
        <v>57</v>
      </c>
      <c r="C204" s="33">
        <v>53361.522299999997</v>
      </c>
      <c r="D204" s="32"/>
      <c r="E204" s="29">
        <f t="shared" si="22"/>
        <v>9043.0097088171569</v>
      </c>
      <c r="F204" s="1">
        <f t="shared" si="23"/>
        <v>9043</v>
      </c>
      <c r="G204" s="1">
        <f t="shared" si="31"/>
        <v>8.3206999988760799E-3</v>
      </c>
      <c r="K204" s="1">
        <f>G204</f>
        <v>8.3206999988760799E-3</v>
      </c>
      <c r="O204" s="1">
        <f t="shared" ca="1" si="33"/>
        <v>1.3818494771314704E-2</v>
      </c>
      <c r="P204" s="13">
        <f t="shared" si="25"/>
        <v>1.0281060711419977E-2</v>
      </c>
      <c r="Q204" s="114">
        <f t="shared" si="26"/>
        <v>38343.022299999997</v>
      </c>
      <c r="R204" s="1">
        <f t="shared" si="32"/>
        <v>3.8430141232856144E-6</v>
      </c>
    </row>
    <row r="205" spans="1:18" x14ac:dyDescent="0.2">
      <c r="A205" s="33" t="s">
        <v>125</v>
      </c>
      <c r="B205" s="34" t="s">
        <v>57</v>
      </c>
      <c r="C205" s="33">
        <v>53412.944000000003</v>
      </c>
      <c r="D205" s="32"/>
      <c r="E205" s="29">
        <f t="shared" si="22"/>
        <v>9103.009935181597</v>
      </c>
      <c r="F205" s="1">
        <f t="shared" si="23"/>
        <v>9103</v>
      </c>
      <c r="G205" s="1">
        <f t="shared" si="31"/>
        <v>8.514699999068398E-3</v>
      </c>
      <c r="I205" s="1">
        <f>G205</f>
        <v>8.514699999068398E-3</v>
      </c>
      <c r="O205" s="1">
        <f t="shared" ca="1" si="33"/>
        <v>1.3734197894494366E-2</v>
      </c>
      <c r="P205" s="13">
        <f t="shared" si="25"/>
        <v>1.0172097266077301E-2</v>
      </c>
      <c r="Q205" s="114">
        <f t="shared" si="26"/>
        <v>38394.444000000003</v>
      </c>
      <c r="R205" s="1">
        <f t="shared" si="32"/>
        <v>2.7469657006885791E-6</v>
      </c>
    </row>
    <row r="206" spans="1:18" x14ac:dyDescent="0.2">
      <c r="A206" s="38" t="s">
        <v>122</v>
      </c>
      <c r="B206" s="40"/>
      <c r="C206" s="30">
        <v>53422.373099999997</v>
      </c>
      <c r="D206" s="30">
        <v>1.9E-3</v>
      </c>
      <c r="E206" s="1">
        <f t="shared" si="22"/>
        <v>9114.0120633572988</v>
      </c>
      <c r="F206" s="1">
        <f t="shared" si="23"/>
        <v>9114</v>
      </c>
      <c r="G206" s="1">
        <f t="shared" si="31"/>
        <v>1.033859999733977E-2</v>
      </c>
      <c r="J206" s="1">
        <f>G206</f>
        <v>1.033859999733977E-2</v>
      </c>
      <c r="O206" s="1">
        <f t="shared" ca="1" si="33"/>
        <v>1.3718743467077302E-2</v>
      </c>
      <c r="P206" s="13">
        <f t="shared" si="25"/>
        <v>1.0151867283092187E-2</v>
      </c>
      <c r="Q206" s="114">
        <f t="shared" si="26"/>
        <v>38403.873099999997</v>
      </c>
      <c r="R206" s="1">
        <f t="shared" si="32"/>
        <v>3.4869106570269551E-8</v>
      </c>
    </row>
    <row r="207" spans="1:18" x14ac:dyDescent="0.2">
      <c r="A207" s="33" t="s">
        <v>56</v>
      </c>
      <c r="B207" s="34" t="s">
        <v>57</v>
      </c>
      <c r="C207" s="33">
        <v>53456.655400000003</v>
      </c>
      <c r="D207" s="32"/>
      <c r="E207" s="29">
        <f t="shared" si="22"/>
        <v>9154.013575565059</v>
      </c>
      <c r="F207" s="1">
        <f t="shared" si="23"/>
        <v>9154</v>
      </c>
      <c r="G207" s="1">
        <f t="shared" si="31"/>
        <v>1.1634599999524653E-2</v>
      </c>
      <c r="K207" s="1">
        <f>G207</f>
        <v>1.1634599999524653E-2</v>
      </c>
      <c r="O207" s="1">
        <f t="shared" ca="1" si="33"/>
        <v>1.3662545549197077E-2</v>
      </c>
      <c r="P207" s="13">
        <f t="shared" si="25"/>
        <v>1.007764194582051E-2</v>
      </c>
      <c r="Q207" s="114">
        <f t="shared" si="26"/>
        <v>38438.155400000003</v>
      </c>
      <c r="R207" s="1">
        <f t="shared" si="32"/>
        <v>2.4241183809941913E-6</v>
      </c>
    </row>
    <row r="208" spans="1:18" x14ac:dyDescent="0.2">
      <c r="A208" s="33" t="s">
        <v>125</v>
      </c>
      <c r="B208" s="34" t="s">
        <v>57</v>
      </c>
      <c r="C208" s="33">
        <v>53664.052499999998</v>
      </c>
      <c r="D208" s="32"/>
      <c r="E208" s="29">
        <f t="shared" si="22"/>
        <v>9396.0101051882812</v>
      </c>
      <c r="F208" s="1">
        <f t="shared" si="23"/>
        <v>9396</v>
      </c>
      <c r="G208" s="1">
        <f t="shared" si="31"/>
        <v>8.6603999952785671E-3</v>
      </c>
      <c r="K208" s="1">
        <f>G208</f>
        <v>8.6603999952785671E-3</v>
      </c>
      <c r="O208" s="1">
        <f t="shared" ca="1" si="33"/>
        <v>1.332254814602171E-2</v>
      </c>
      <c r="P208" s="13">
        <f t="shared" si="25"/>
        <v>9.6064407439624654E-3</v>
      </c>
      <c r="Q208" s="114">
        <f t="shared" si="26"/>
        <v>38645.552499999998</v>
      </c>
      <c r="R208" s="1">
        <f t="shared" si="32"/>
        <v>8.949930981703908E-7</v>
      </c>
    </row>
    <row r="209" spans="1:18" x14ac:dyDescent="0.2">
      <c r="A209" s="44" t="s">
        <v>126</v>
      </c>
      <c r="B209" s="39"/>
      <c r="C209" s="30">
        <v>53674.337500000001</v>
      </c>
      <c r="D209" s="30">
        <v>1.1999999999999999E-3</v>
      </c>
      <c r="E209" s="1">
        <f t="shared" si="22"/>
        <v>9408.0109205669705</v>
      </c>
      <c r="F209" s="1">
        <f t="shared" si="23"/>
        <v>9408</v>
      </c>
      <c r="G209" s="1">
        <f t="shared" si="31"/>
        <v>9.3591999975615181E-3</v>
      </c>
      <c r="J209" s="1">
        <f>G209</f>
        <v>9.3591999975615181E-3</v>
      </c>
      <c r="O209" s="1">
        <f t="shared" ca="1" si="33"/>
        <v>1.3305688770657643E-2</v>
      </c>
      <c r="P209" s="13">
        <f t="shared" si="25"/>
        <v>9.5820866436616935E-3</v>
      </c>
      <c r="Q209" s="114">
        <f t="shared" si="26"/>
        <v>38655.837500000001</v>
      </c>
      <c r="R209" s="1">
        <f t="shared" si="32"/>
        <v>4.9678457009784819E-8</v>
      </c>
    </row>
    <row r="210" spans="1:18" x14ac:dyDescent="0.2">
      <c r="A210" s="33" t="s">
        <v>125</v>
      </c>
      <c r="B210" s="34" t="s">
        <v>57</v>
      </c>
      <c r="C210" s="33">
        <v>53693.191800000001</v>
      </c>
      <c r="D210" s="32"/>
      <c r="E210" s="29">
        <f t="shared" si="22"/>
        <v>9430.0106262932077</v>
      </c>
      <c r="F210" s="1">
        <f t="shared" si="23"/>
        <v>9430</v>
      </c>
      <c r="G210" s="1">
        <f t="shared" si="31"/>
        <v>9.1069999980391003E-3</v>
      </c>
      <c r="K210" s="1">
        <f>G210</f>
        <v>9.1069999980391003E-3</v>
      </c>
      <c r="O210" s="1">
        <f t="shared" ca="1" si="33"/>
        <v>1.3274779915823518E-2</v>
      </c>
      <c r="P210" s="13">
        <f t="shared" si="25"/>
        <v>9.537194813424129E-3</v>
      </c>
      <c r="Q210" s="114">
        <f t="shared" si="26"/>
        <v>38674.691800000001</v>
      </c>
      <c r="R210" s="1">
        <f t="shared" si="32"/>
        <v>1.8506757918415889E-7</v>
      </c>
    </row>
    <row r="211" spans="1:18" x14ac:dyDescent="0.2">
      <c r="A211" s="44" t="s">
        <v>126</v>
      </c>
      <c r="B211" s="37" t="s">
        <v>127</v>
      </c>
      <c r="C211" s="30">
        <v>53705.622600000002</v>
      </c>
      <c r="D211" s="30">
        <v>6.4000000000000003E-3</v>
      </c>
      <c r="E211" s="1">
        <f t="shared" si="22"/>
        <v>9444.5152189825021</v>
      </c>
      <c r="F211" s="1">
        <f t="shared" si="23"/>
        <v>9444.5</v>
      </c>
      <c r="G211" s="1">
        <f t="shared" si="31"/>
        <v>1.3043049999396317E-2</v>
      </c>
      <c r="J211" s="1">
        <f>G211</f>
        <v>1.3043049999396317E-2</v>
      </c>
      <c r="O211" s="1">
        <f t="shared" ca="1" si="33"/>
        <v>1.3254408170591937E-2</v>
      </c>
      <c r="P211" s="13">
        <f t="shared" si="25"/>
        <v>9.5074353309517537E-3</v>
      </c>
      <c r="Q211" s="114">
        <f t="shared" si="26"/>
        <v>38687.122600000002</v>
      </c>
      <c r="R211" s="1">
        <f t="shared" si="32"/>
        <v>1.2500571083720358E-5</v>
      </c>
    </row>
    <row r="212" spans="1:18" x14ac:dyDescent="0.2">
      <c r="A212" s="38" t="s">
        <v>128</v>
      </c>
      <c r="B212" s="40" t="s">
        <v>57</v>
      </c>
      <c r="C212" s="35">
        <v>53708.616800000003</v>
      </c>
      <c r="D212" s="35">
        <v>1E-4</v>
      </c>
      <c r="E212" s="1">
        <f t="shared" si="22"/>
        <v>9448.0089322938165</v>
      </c>
      <c r="F212" s="1">
        <f t="shared" si="23"/>
        <v>9448</v>
      </c>
      <c r="G212" s="1">
        <f t="shared" si="31"/>
        <v>7.6552000027731992E-3</v>
      </c>
      <c r="K212" s="1">
        <f t="shared" ref="K212:K217" si="34">G212</f>
        <v>7.6552000027731992E-3</v>
      </c>
      <c r="O212" s="1">
        <f t="shared" ca="1" si="33"/>
        <v>1.3249490852777417E-2</v>
      </c>
      <c r="P212" s="13">
        <f t="shared" si="25"/>
        <v>9.5002315708046098E-3</v>
      </c>
      <c r="Q212" s="114">
        <f t="shared" si="26"/>
        <v>38690.116800000003</v>
      </c>
      <c r="R212" s="1">
        <f t="shared" si="32"/>
        <v>3.4041414870324456E-6</v>
      </c>
    </row>
    <row r="213" spans="1:18" x14ac:dyDescent="0.2">
      <c r="A213" s="33" t="s">
        <v>56</v>
      </c>
      <c r="B213" s="34" t="s">
        <v>57</v>
      </c>
      <c r="C213" s="33">
        <v>53834.600899999998</v>
      </c>
      <c r="D213" s="32"/>
      <c r="E213" s="29">
        <f t="shared" ref="E213:E276" si="35">+(C213-C$7)/C$8</f>
        <v>9595.0105778698853</v>
      </c>
      <c r="F213" s="1">
        <f t="shared" ref="F213:F276" si="36">ROUND(2*E213,0)/2</f>
        <v>9595</v>
      </c>
      <c r="G213" s="1">
        <f t="shared" si="31"/>
        <v>9.0654999949038029E-3</v>
      </c>
      <c r="K213" s="1">
        <f t="shared" si="34"/>
        <v>9.0654999949038029E-3</v>
      </c>
      <c r="O213" s="1">
        <f t="shared" ca="1" si="33"/>
        <v>1.3042963504567587E-2</v>
      </c>
      <c r="P213" s="13">
        <f t="shared" ref="P213:P276" si="37">+D$11+D$12*F213+D$13*F213^2</f>
        <v>9.1904969245893975E-3</v>
      </c>
      <c r="Q213" s="114">
        <f t="shared" ref="Q213:Q276" si="38">+C213-15018.5</f>
        <v>38816.100899999998</v>
      </c>
      <c r="R213" s="1">
        <f t="shared" si="32"/>
        <v>1.5624232430825484E-8</v>
      </c>
    </row>
    <row r="214" spans="1:18" x14ac:dyDescent="0.2">
      <c r="A214" s="30" t="s">
        <v>118</v>
      </c>
      <c r="B214" s="37" t="s">
        <v>57</v>
      </c>
      <c r="C214" s="30">
        <v>54075.424429999999</v>
      </c>
      <c r="D214" s="30" t="s">
        <v>129</v>
      </c>
      <c r="E214" s="1">
        <f t="shared" si="35"/>
        <v>9876.0099675026995</v>
      </c>
      <c r="F214" s="1">
        <f t="shared" si="36"/>
        <v>9876</v>
      </c>
      <c r="G214" s="1">
        <f t="shared" si="31"/>
        <v>8.5423999989870936E-3</v>
      </c>
      <c r="K214" s="1">
        <f t="shared" si="34"/>
        <v>8.5423999989870936E-3</v>
      </c>
      <c r="O214" s="1">
        <f t="shared" ca="1" si="33"/>
        <v>1.2648173131459E-2</v>
      </c>
      <c r="P214" s="13">
        <f t="shared" si="37"/>
        <v>8.5594049716463255E-3</v>
      </c>
      <c r="Q214" s="114">
        <f t="shared" si="38"/>
        <v>39056.924429999999</v>
      </c>
      <c r="R214" s="1">
        <f t="shared" si="32"/>
        <v>2.8916909514122625E-10</v>
      </c>
    </row>
    <row r="215" spans="1:18" x14ac:dyDescent="0.2">
      <c r="A215" s="33" t="s">
        <v>130</v>
      </c>
      <c r="B215" s="34" t="s">
        <v>57</v>
      </c>
      <c r="C215" s="33">
        <v>54157.697800000002</v>
      </c>
      <c r="D215" s="32"/>
      <c r="E215" s="29">
        <f t="shared" si="35"/>
        <v>9972.0087544693852</v>
      </c>
      <c r="F215" s="1">
        <f t="shared" si="36"/>
        <v>9972</v>
      </c>
      <c r="G215" s="1">
        <f t="shared" si="31"/>
        <v>7.5027999992016703E-3</v>
      </c>
      <c r="K215" s="1">
        <f t="shared" si="34"/>
        <v>7.5027999992016703E-3</v>
      </c>
      <c r="O215" s="1">
        <f t="shared" ca="1" si="33"/>
        <v>1.2513298128546457E-2</v>
      </c>
      <c r="P215" s="13">
        <f t="shared" si="37"/>
        <v>8.3320601531129343E-3</v>
      </c>
      <c r="Q215" s="114">
        <f t="shared" si="38"/>
        <v>39139.197800000002</v>
      </c>
      <c r="R215" s="1">
        <f t="shared" si="32"/>
        <v>6.8767240286493324E-7</v>
      </c>
    </row>
    <row r="216" spans="1:18" x14ac:dyDescent="0.2">
      <c r="A216" s="33" t="s">
        <v>131</v>
      </c>
      <c r="B216" s="34" t="s">
        <v>57</v>
      </c>
      <c r="C216" s="33">
        <v>54308.540099999998</v>
      </c>
      <c r="D216" s="32"/>
      <c r="E216" s="29">
        <f t="shared" si="35"/>
        <v>10148.015618212345</v>
      </c>
      <c r="F216" s="1">
        <f t="shared" si="36"/>
        <v>10148</v>
      </c>
      <c r="G216" s="1">
        <f t="shared" si="31"/>
        <v>1.3385199999902397E-2</v>
      </c>
      <c r="K216" s="1">
        <f t="shared" si="34"/>
        <v>1.3385199999902397E-2</v>
      </c>
      <c r="O216" s="1">
        <f t="shared" ca="1" si="33"/>
        <v>1.2266027289873464E-2</v>
      </c>
      <c r="P216" s="13">
        <f t="shared" si="37"/>
        <v>7.8997319525557705E-3</v>
      </c>
      <c r="Q216" s="114">
        <f t="shared" si="38"/>
        <v>39290.040099999998</v>
      </c>
      <c r="R216" s="1">
        <f t="shared" si="32"/>
        <v>3.0090359698460817E-5</v>
      </c>
    </row>
    <row r="217" spans="1:18" x14ac:dyDescent="0.2">
      <c r="A217" s="44" t="s">
        <v>132</v>
      </c>
      <c r="B217" s="37" t="s">
        <v>57</v>
      </c>
      <c r="C217" s="30">
        <v>54308.540130000001</v>
      </c>
      <c r="D217" s="30">
        <v>1E-4</v>
      </c>
      <c r="E217" s="1">
        <f t="shared" si="35"/>
        <v>10148.015653217157</v>
      </c>
      <c r="F217" s="1">
        <f t="shared" si="36"/>
        <v>10148</v>
      </c>
      <c r="G217" s="1">
        <f t="shared" si="31"/>
        <v>1.3415200002782512E-2</v>
      </c>
      <c r="K217" s="1">
        <f t="shared" si="34"/>
        <v>1.3415200002782512E-2</v>
      </c>
      <c r="O217" s="1">
        <f t="shared" ca="1" si="33"/>
        <v>1.2266027289873464E-2</v>
      </c>
      <c r="P217" s="13">
        <f t="shared" si="37"/>
        <v>7.8997319525557705E-3</v>
      </c>
      <c r="Q217" s="114">
        <f t="shared" si="38"/>
        <v>39290.040130000001</v>
      </c>
      <c r="R217" s="1">
        <f t="shared" si="32"/>
        <v>3.042038781307198E-5</v>
      </c>
    </row>
    <row r="218" spans="1:18" x14ac:dyDescent="0.2">
      <c r="A218" s="45" t="s">
        <v>133</v>
      </c>
      <c r="B218" s="29"/>
      <c r="C218" s="30">
        <v>54354.819000000003</v>
      </c>
      <c r="D218" s="30">
        <v>1E-4</v>
      </c>
      <c r="E218" s="1">
        <f t="shared" si="35"/>
        <v>10202.015086839348</v>
      </c>
      <c r="F218" s="1">
        <f t="shared" si="36"/>
        <v>10202</v>
      </c>
      <c r="G218" s="1">
        <f t="shared" si="31"/>
        <v>1.2929800002893899E-2</v>
      </c>
      <c r="I218" s="1">
        <f>G218</f>
        <v>1.2929800002893899E-2</v>
      </c>
      <c r="O218" s="1">
        <f t="shared" ca="1" si="33"/>
        <v>1.2190160100735158E-2</v>
      </c>
      <c r="P218" s="13">
        <f t="shared" si="37"/>
        <v>7.7630568325963434E-3</v>
      </c>
      <c r="Q218" s="114">
        <f t="shared" si="38"/>
        <v>39336.319000000003</v>
      </c>
      <c r="R218" s="1">
        <f t="shared" si="32"/>
        <v>2.6695234987816431E-5</v>
      </c>
    </row>
    <row r="219" spans="1:18" x14ac:dyDescent="0.2">
      <c r="A219" s="35" t="s">
        <v>134</v>
      </c>
      <c r="B219" s="40" t="s">
        <v>57</v>
      </c>
      <c r="C219" s="35">
        <v>54436.233200000002</v>
      </c>
      <c r="D219" s="35">
        <v>1E-4</v>
      </c>
      <c r="E219" s="29">
        <f t="shared" si="35"/>
        <v>10297.011371078865</v>
      </c>
      <c r="F219" s="1">
        <f t="shared" si="36"/>
        <v>10297</v>
      </c>
      <c r="G219" s="1">
        <f t="shared" si="31"/>
        <v>9.7453000053064898E-3</v>
      </c>
      <c r="K219" s="1">
        <f>G219</f>
        <v>9.7453000053064898E-3</v>
      </c>
      <c r="O219" s="1">
        <f t="shared" ca="1" si="33"/>
        <v>1.2056690045769623E-2</v>
      </c>
      <c r="P219" s="13">
        <f t="shared" si="37"/>
        <v>7.5180180720247486E-3</v>
      </c>
      <c r="Q219" s="114">
        <f t="shared" si="38"/>
        <v>39417.733200000002</v>
      </c>
      <c r="R219" s="1">
        <f t="shared" si="32"/>
        <v>4.9607848103232504E-6</v>
      </c>
    </row>
    <row r="220" spans="1:18" x14ac:dyDescent="0.2">
      <c r="A220" s="33" t="s">
        <v>135</v>
      </c>
      <c r="B220" s="34" t="s">
        <v>57</v>
      </c>
      <c r="C220" s="33">
        <v>54453.373899999999</v>
      </c>
      <c r="D220" s="32"/>
      <c r="E220" s="29">
        <f t="shared" si="35"/>
        <v>10317.011602110601</v>
      </c>
      <c r="F220" s="1">
        <f t="shared" si="36"/>
        <v>10317</v>
      </c>
      <c r="G220" s="1">
        <f t="shared" si="31"/>
        <v>9.9432999995769933E-3</v>
      </c>
      <c r="K220" s="1">
        <f>G220</f>
        <v>9.9432999995769933E-3</v>
      </c>
      <c r="O220" s="1">
        <f t="shared" ca="1" si="33"/>
        <v>1.2028591086829511E-2</v>
      </c>
      <c r="P220" s="13">
        <f t="shared" si="37"/>
        <v>7.4656848594404773E-3</v>
      </c>
      <c r="Q220" s="114">
        <f t="shared" si="38"/>
        <v>39434.873899999999</v>
      </c>
      <c r="R220" s="1">
        <f t="shared" si="32"/>
        <v>6.1385767826336872E-6</v>
      </c>
    </row>
    <row r="221" spans="1:18" x14ac:dyDescent="0.2">
      <c r="A221" s="41" t="s">
        <v>136</v>
      </c>
      <c r="B221" s="46" t="s">
        <v>57</v>
      </c>
      <c r="C221" s="41">
        <v>54502.222710000002</v>
      </c>
      <c r="D221" s="41">
        <v>2.3000000000000001E-4</v>
      </c>
      <c r="E221" s="29">
        <f t="shared" si="35"/>
        <v>10374.009711034134</v>
      </c>
      <c r="F221" s="1">
        <f t="shared" si="36"/>
        <v>10374</v>
      </c>
      <c r="G221" s="1">
        <f t="shared" si="31"/>
        <v>8.3225999987917021E-3</v>
      </c>
      <c r="K221" s="1">
        <f>G221</f>
        <v>8.3225999987917021E-3</v>
      </c>
      <c r="O221" s="1">
        <f t="shared" ca="1" si="33"/>
        <v>1.1948509053850188E-2</v>
      </c>
      <c r="P221" s="13">
        <f t="shared" si="37"/>
        <v>7.3151114404169659E-3</v>
      </c>
      <c r="Q221" s="114">
        <f t="shared" si="38"/>
        <v>39483.722710000002</v>
      </c>
      <c r="R221" s="1">
        <f t="shared" si="32"/>
        <v>1.0150331952560041E-6</v>
      </c>
    </row>
    <row r="222" spans="1:18" x14ac:dyDescent="0.2">
      <c r="A222" s="44" t="s">
        <v>137</v>
      </c>
      <c r="B222" s="37" t="s">
        <v>57</v>
      </c>
      <c r="C222" s="30">
        <v>54553.644099999998</v>
      </c>
      <c r="D222" s="30">
        <v>4.0000000000000002E-4</v>
      </c>
      <c r="E222" s="29">
        <f t="shared" si="35"/>
        <v>10434.009575682201</v>
      </c>
      <c r="F222" s="1">
        <f t="shared" si="36"/>
        <v>10434</v>
      </c>
      <c r="G222" s="1">
        <f t="shared" si="31"/>
        <v>8.2065999959013425E-3</v>
      </c>
      <c r="K222" s="1">
        <f>G222</f>
        <v>8.2065999959013425E-3</v>
      </c>
      <c r="O222" s="1">
        <f t="shared" ca="1" si="33"/>
        <v>1.186421217702985E-2</v>
      </c>
      <c r="P222" s="13">
        <f t="shared" si="37"/>
        <v>7.1543358620938385E-3</v>
      </c>
      <c r="Q222" s="114">
        <f t="shared" si="38"/>
        <v>39535.144099999998</v>
      </c>
      <c r="R222" s="1">
        <f t="shared" si="32"/>
        <v>1.1072598072976567E-6</v>
      </c>
    </row>
    <row r="223" spans="1:18" x14ac:dyDescent="0.2">
      <c r="A223" s="33" t="s">
        <v>138</v>
      </c>
      <c r="B223" s="34" t="s">
        <v>127</v>
      </c>
      <c r="C223" s="33">
        <v>54719.48</v>
      </c>
      <c r="D223" s="32"/>
      <c r="E223" s="29">
        <f t="shared" si="35"/>
        <v>10627.511376271246</v>
      </c>
      <c r="F223" s="1">
        <f t="shared" si="36"/>
        <v>10627.5</v>
      </c>
      <c r="G223" s="1">
        <f t="shared" ref="G223:G254" si="39">+C223-(C$7+F223*C$8)</f>
        <v>9.7497500028111972E-3</v>
      </c>
      <c r="I223" s="1">
        <f>G223</f>
        <v>9.7497500028111972E-3</v>
      </c>
      <c r="O223" s="1">
        <f t="shared" ca="1" si="33"/>
        <v>1.1592354749284257E-2</v>
      </c>
      <c r="P223" s="13">
        <f t="shared" si="37"/>
        <v>6.6199223899707435E-3</v>
      </c>
      <c r="Q223" s="114">
        <f t="shared" si="38"/>
        <v>39700.980000000003</v>
      </c>
      <c r="R223" s="1">
        <f t="shared" ref="R223:R254" si="40">+(P223-G223)^2</f>
        <v>9.7958208860985727E-6</v>
      </c>
    </row>
    <row r="224" spans="1:18" x14ac:dyDescent="0.2">
      <c r="A224" s="30" t="s">
        <v>139</v>
      </c>
      <c r="B224" s="37" t="s">
        <v>127</v>
      </c>
      <c r="C224" s="30">
        <v>54719.480049999998</v>
      </c>
      <c r="D224" s="30">
        <v>2.0000000000000001E-4</v>
      </c>
      <c r="E224" s="29">
        <f t="shared" si="35"/>
        <v>10627.511434612588</v>
      </c>
      <c r="F224" s="1">
        <f t="shared" si="36"/>
        <v>10627.5</v>
      </c>
      <c r="G224" s="1">
        <f t="shared" si="39"/>
        <v>9.7997499979101121E-3</v>
      </c>
      <c r="K224" s="1">
        <f t="shared" ref="K224:K232" si="41">G224</f>
        <v>9.7997499979101121E-3</v>
      </c>
      <c r="O224" s="1">
        <f t="shared" ca="1" si="33"/>
        <v>1.1592354749284257E-2</v>
      </c>
      <c r="P224" s="13">
        <f t="shared" si="37"/>
        <v>6.6199223899707435E-3</v>
      </c>
      <c r="Q224" s="114">
        <f t="shared" si="38"/>
        <v>39700.980049999998</v>
      </c>
      <c r="R224" s="1">
        <f t="shared" si="40"/>
        <v>1.0111303616213407E-5</v>
      </c>
    </row>
    <row r="225" spans="1:18" x14ac:dyDescent="0.2">
      <c r="A225" s="41" t="s">
        <v>136</v>
      </c>
      <c r="B225" s="46" t="s">
        <v>57</v>
      </c>
      <c r="C225" s="41">
        <v>54751.6224</v>
      </c>
      <c r="D225" s="41">
        <v>2.9999999999999997E-4</v>
      </c>
      <c r="E225" s="29">
        <f t="shared" si="35"/>
        <v>10665.015995447506</v>
      </c>
      <c r="F225" s="1">
        <f t="shared" si="36"/>
        <v>10665</v>
      </c>
      <c r="G225" s="1">
        <f t="shared" si="39"/>
        <v>1.3708499995118473E-2</v>
      </c>
      <c r="K225" s="1">
        <f t="shared" si="41"/>
        <v>1.3708499995118473E-2</v>
      </c>
      <c r="O225" s="1">
        <f t="shared" ca="1" si="33"/>
        <v>1.1539669201271545E-2</v>
      </c>
      <c r="P225" s="13">
        <f t="shared" si="37"/>
        <v>6.5135438287561437E-3</v>
      </c>
      <c r="Q225" s="114">
        <f t="shared" si="38"/>
        <v>39733.1224</v>
      </c>
      <c r="R225" s="1">
        <f t="shared" si="40"/>
        <v>5.1767394235875303E-5</v>
      </c>
    </row>
    <row r="226" spans="1:18" x14ac:dyDescent="0.2">
      <c r="A226" s="44" t="s">
        <v>140</v>
      </c>
      <c r="B226" s="37" t="s">
        <v>57</v>
      </c>
      <c r="C226" s="30">
        <v>54751.622600000002</v>
      </c>
      <c r="D226" s="30">
        <v>2.9999999999999997E-4</v>
      </c>
      <c r="E226" s="29">
        <f t="shared" si="35"/>
        <v>10665.016228812903</v>
      </c>
      <c r="F226" s="1">
        <f t="shared" si="36"/>
        <v>10665</v>
      </c>
      <c r="G226" s="1">
        <f t="shared" si="39"/>
        <v>1.3908499997342005E-2</v>
      </c>
      <c r="K226" s="1">
        <f t="shared" si="41"/>
        <v>1.3908499997342005E-2</v>
      </c>
      <c r="O226" s="1">
        <f t="shared" ca="1" si="33"/>
        <v>1.1539669201271545E-2</v>
      </c>
      <c r="P226" s="13">
        <f t="shared" si="37"/>
        <v>6.5135438287561437E-3</v>
      </c>
      <c r="Q226" s="114">
        <f t="shared" si="38"/>
        <v>39733.122600000002</v>
      </c>
      <c r="R226" s="1">
        <f t="shared" si="40"/>
        <v>5.4685376735306087E-5</v>
      </c>
    </row>
    <row r="227" spans="1:18" x14ac:dyDescent="0.2">
      <c r="A227" s="41" t="s">
        <v>136</v>
      </c>
      <c r="B227" s="46" t="s">
        <v>127</v>
      </c>
      <c r="C227" s="41">
        <v>54755.484900000003</v>
      </c>
      <c r="D227" s="41">
        <v>2.0000000000000001E-4</v>
      </c>
      <c r="E227" s="29">
        <f t="shared" si="35"/>
        <v>10669.52286461622</v>
      </c>
      <c r="F227" s="1">
        <f t="shared" si="36"/>
        <v>10669.5</v>
      </c>
      <c r="G227" s="1">
        <f t="shared" si="39"/>
        <v>1.9595550002122764E-2</v>
      </c>
      <c r="K227" s="1">
        <f t="shared" si="41"/>
        <v>1.9595550002122764E-2</v>
      </c>
      <c r="O227" s="1">
        <f t="shared" ca="1" si="33"/>
        <v>1.1533346935510018E-2</v>
      </c>
      <c r="P227" s="13">
        <f t="shared" si="37"/>
        <v>6.5007170910351617E-3</v>
      </c>
      <c r="Q227" s="114">
        <f t="shared" si="38"/>
        <v>39736.984900000003</v>
      </c>
      <c r="R227" s="1">
        <f t="shared" si="40"/>
        <v>1.7147464896930301E-4</v>
      </c>
    </row>
    <row r="228" spans="1:18" x14ac:dyDescent="0.2">
      <c r="A228" s="41" t="s">
        <v>136</v>
      </c>
      <c r="B228" s="46" t="s">
        <v>57</v>
      </c>
      <c r="C228" s="41">
        <v>54759.335899999998</v>
      </c>
      <c r="D228" s="41">
        <v>2.0000000000000001E-4</v>
      </c>
      <c r="E228" s="29">
        <f t="shared" si="35"/>
        <v>10674.016315274777</v>
      </c>
      <c r="F228" s="1">
        <f t="shared" si="36"/>
        <v>10674</v>
      </c>
      <c r="G228" s="1">
        <f t="shared" si="39"/>
        <v>1.3982600001327228E-2</v>
      </c>
      <c r="K228" s="1">
        <f t="shared" si="41"/>
        <v>1.3982600001327228E-2</v>
      </c>
      <c r="O228" s="1">
        <f t="shared" ref="O228:O259" ca="1" si="42">+C$11+C$12*F228</f>
        <v>1.1527024669748493E-2</v>
      </c>
      <c r="P228" s="13">
        <f t="shared" si="37"/>
        <v>6.4878772153766154E-3</v>
      </c>
      <c r="Q228" s="114">
        <f t="shared" si="38"/>
        <v>39740.835899999998</v>
      </c>
      <c r="R228" s="1">
        <f t="shared" si="40"/>
        <v>5.6170869638247311E-5</v>
      </c>
    </row>
    <row r="229" spans="1:18" x14ac:dyDescent="0.2">
      <c r="A229" s="41" t="s">
        <v>136</v>
      </c>
      <c r="B229" s="46" t="s">
        <v>57</v>
      </c>
      <c r="C229" s="41">
        <v>54775.618849999999</v>
      </c>
      <c r="D229" s="41">
        <v>1.4999999999999999E-4</v>
      </c>
      <c r="E229" s="29">
        <f t="shared" si="35"/>
        <v>10693.015700473647</v>
      </c>
      <c r="F229" s="1">
        <f t="shared" si="36"/>
        <v>10693</v>
      </c>
      <c r="G229" s="1">
        <f t="shared" si="39"/>
        <v>1.3455699998303317E-2</v>
      </c>
      <c r="K229" s="1">
        <f t="shared" si="41"/>
        <v>1.3455699998303317E-2</v>
      </c>
      <c r="O229" s="1">
        <f t="shared" ca="1" si="42"/>
        <v>1.1500330658755387E-2</v>
      </c>
      <c r="P229" s="13">
        <f t="shared" si="37"/>
        <v>6.4335195653339589E-3</v>
      </c>
      <c r="Q229" s="114">
        <f t="shared" si="38"/>
        <v>39757.118849999999</v>
      </c>
      <c r="R229" s="1">
        <f t="shared" si="40"/>
        <v>4.9311018033177717E-5</v>
      </c>
    </row>
    <row r="230" spans="1:18" x14ac:dyDescent="0.2">
      <c r="A230" s="35" t="s">
        <v>134</v>
      </c>
      <c r="B230" s="40" t="s">
        <v>57</v>
      </c>
      <c r="C230" s="35">
        <v>54800.471299999997</v>
      </c>
      <c r="D230" s="35">
        <v>1E-4</v>
      </c>
      <c r="E230" s="29">
        <f t="shared" si="35"/>
        <v>10722.014209385461</v>
      </c>
      <c r="F230" s="1">
        <f t="shared" si="36"/>
        <v>10722</v>
      </c>
      <c r="G230" s="1">
        <f t="shared" si="39"/>
        <v>1.2177799995697569E-2</v>
      </c>
      <c r="K230" s="1">
        <f t="shared" si="41"/>
        <v>1.2177799995697569E-2</v>
      </c>
      <c r="O230" s="1">
        <f t="shared" ca="1" si="42"/>
        <v>1.1459587168292222E-2</v>
      </c>
      <c r="P230" s="13">
        <f t="shared" si="37"/>
        <v>6.3501010700156291E-3</v>
      </c>
      <c r="Q230" s="114">
        <f t="shared" si="38"/>
        <v>39781.971299999997</v>
      </c>
      <c r="R230" s="1">
        <f t="shared" si="40"/>
        <v>3.3962074768394436E-5</v>
      </c>
    </row>
    <row r="231" spans="1:18" x14ac:dyDescent="0.2">
      <c r="A231" s="41" t="s">
        <v>136</v>
      </c>
      <c r="B231" s="46" t="s">
        <v>127</v>
      </c>
      <c r="C231" s="41">
        <v>54827.464699999997</v>
      </c>
      <c r="D231" s="41">
        <v>5.0000000000000001E-4</v>
      </c>
      <c r="E231" s="29">
        <f t="shared" si="35"/>
        <v>10753.510836497082</v>
      </c>
      <c r="F231" s="1">
        <f t="shared" si="36"/>
        <v>10753.5</v>
      </c>
      <c r="G231" s="1">
        <f t="shared" si="39"/>
        <v>9.2871499946340919E-3</v>
      </c>
      <c r="K231" s="1">
        <f t="shared" si="41"/>
        <v>9.2871499946340919E-3</v>
      </c>
      <c r="O231" s="1">
        <f t="shared" ca="1" si="42"/>
        <v>1.1415331307961544E-2</v>
      </c>
      <c r="P231" s="13">
        <f t="shared" si="37"/>
        <v>6.2588731121505578E-3</v>
      </c>
      <c r="Q231" s="114">
        <f t="shared" si="38"/>
        <v>39808.964699999997</v>
      </c>
      <c r="R231" s="1">
        <f t="shared" si="40"/>
        <v>9.1704608769841918E-6</v>
      </c>
    </row>
    <row r="232" spans="1:18" x14ac:dyDescent="0.2">
      <c r="A232" s="41" t="s">
        <v>136</v>
      </c>
      <c r="B232" s="46" t="s">
        <v>57</v>
      </c>
      <c r="C232" s="41">
        <v>54830.466500000002</v>
      </c>
      <c r="D232" s="41">
        <v>5.0000000000000001E-4</v>
      </c>
      <c r="E232" s="29">
        <f t="shared" si="35"/>
        <v>10757.013417693368</v>
      </c>
      <c r="F232" s="1">
        <f t="shared" si="36"/>
        <v>10757</v>
      </c>
      <c r="G232" s="1">
        <f t="shared" si="39"/>
        <v>1.1499300002469681E-2</v>
      </c>
      <c r="K232" s="1">
        <f t="shared" si="41"/>
        <v>1.1499300002469681E-2</v>
      </c>
      <c r="O232" s="1">
        <f t="shared" ca="1" si="42"/>
        <v>1.1410413990147025E-2</v>
      </c>
      <c r="P232" s="13">
        <f t="shared" si="37"/>
        <v>6.2486969341815982E-3</v>
      </c>
      <c r="Q232" s="114">
        <f t="shared" si="38"/>
        <v>39811.966500000002</v>
      </c>
      <c r="R232" s="1">
        <f t="shared" si="40"/>
        <v>2.7568832580716231E-5</v>
      </c>
    </row>
    <row r="233" spans="1:18" x14ac:dyDescent="0.2">
      <c r="A233" s="41" t="s">
        <v>141</v>
      </c>
      <c r="B233" s="46" t="s">
        <v>57</v>
      </c>
      <c r="C233" s="41">
        <v>54831.322800000002</v>
      </c>
      <c r="D233" s="41">
        <v>2.0000000000000001E-4</v>
      </c>
      <c r="E233" s="29">
        <f t="shared" si="35"/>
        <v>10758.012571627132</v>
      </c>
      <c r="F233" s="1">
        <f t="shared" si="36"/>
        <v>10758</v>
      </c>
      <c r="G233" s="1">
        <f t="shared" si="39"/>
        <v>1.0774200003652368E-2</v>
      </c>
      <c r="J233" s="1">
        <f>G233</f>
        <v>1.0774200003652368E-2</v>
      </c>
      <c r="O233" s="1">
        <f t="shared" ca="1" si="42"/>
        <v>1.1409009042200019E-2</v>
      </c>
      <c r="P233" s="13">
        <f t="shared" si="37"/>
        <v>6.2457879949910505E-3</v>
      </c>
      <c r="Q233" s="114">
        <f t="shared" si="38"/>
        <v>39812.822800000002</v>
      </c>
      <c r="R233" s="1">
        <f t="shared" si="40"/>
        <v>2.0506515320188024E-5</v>
      </c>
    </row>
    <row r="234" spans="1:18" x14ac:dyDescent="0.2">
      <c r="A234" s="41" t="s">
        <v>141</v>
      </c>
      <c r="B234" s="46" t="s">
        <v>57</v>
      </c>
      <c r="C234" s="41">
        <v>54831.323600000003</v>
      </c>
      <c r="D234" s="41">
        <v>2.0000000000000001E-4</v>
      </c>
      <c r="E234" s="29">
        <f t="shared" si="35"/>
        <v>10758.013505088709</v>
      </c>
      <c r="F234" s="1">
        <f t="shared" si="36"/>
        <v>10758</v>
      </c>
      <c r="G234" s="1">
        <f t="shared" si="39"/>
        <v>1.1574200005270541E-2</v>
      </c>
      <c r="J234" s="1">
        <f>G234</f>
        <v>1.1574200005270541E-2</v>
      </c>
      <c r="O234" s="1">
        <f t="shared" ca="1" si="42"/>
        <v>1.1409009042200019E-2</v>
      </c>
      <c r="P234" s="13">
        <f t="shared" si="37"/>
        <v>6.2457879949910505E-3</v>
      </c>
      <c r="Q234" s="114">
        <f t="shared" si="38"/>
        <v>39812.823600000003</v>
      </c>
      <c r="R234" s="1">
        <f t="shared" si="40"/>
        <v>2.8391974551290717E-5</v>
      </c>
    </row>
    <row r="235" spans="1:18" x14ac:dyDescent="0.2">
      <c r="A235" s="41" t="s">
        <v>141</v>
      </c>
      <c r="B235" s="46" t="s">
        <v>57</v>
      </c>
      <c r="C235" s="41">
        <v>54842.464</v>
      </c>
      <c r="D235" s="41">
        <v>5.0000000000000001E-4</v>
      </c>
      <c r="E235" s="29">
        <f t="shared" si="35"/>
        <v>10771.012424256884</v>
      </c>
      <c r="F235" s="1">
        <f t="shared" si="36"/>
        <v>10771</v>
      </c>
      <c r="G235" s="1">
        <f t="shared" si="39"/>
        <v>1.064790000236826E-2</v>
      </c>
      <c r="I235" s="1">
        <f>G235</f>
        <v>1.064790000236826E-2</v>
      </c>
      <c r="O235" s="1">
        <f t="shared" ca="1" si="42"/>
        <v>1.1390744718888946E-2</v>
      </c>
      <c r="P235" s="13">
        <f t="shared" si="37"/>
        <v>6.2079127458934055E-3</v>
      </c>
      <c r="Q235" s="114">
        <f t="shared" si="38"/>
        <v>39823.964</v>
      </c>
      <c r="R235" s="1">
        <f t="shared" si="40"/>
        <v>1.9713486837659107E-5</v>
      </c>
    </row>
    <row r="236" spans="1:18" x14ac:dyDescent="0.2">
      <c r="A236" s="41" t="s">
        <v>136</v>
      </c>
      <c r="B236" s="46" t="s">
        <v>57</v>
      </c>
      <c r="C236" s="41">
        <v>54843.321600000003</v>
      </c>
      <c r="D236" s="41">
        <v>2.9999999999999997E-4</v>
      </c>
      <c r="E236" s="29">
        <f t="shared" si="35"/>
        <v>10772.013095065713</v>
      </c>
      <c r="F236" s="1">
        <f t="shared" si="36"/>
        <v>10772</v>
      </c>
      <c r="G236" s="1">
        <f t="shared" si="39"/>
        <v>1.1222799999814015E-2</v>
      </c>
      <c r="K236" s="1">
        <f t="shared" ref="K236:K246" si="43">G236</f>
        <v>1.1222799999814015E-2</v>
      </c>
      <c r="O236" s="1">
        <f t="shared" ca="1" si="42"/>
        <v>1.1389339770941941E-2</v>
      </c>
      <c r="P236" s="13">
        <f t="shared" si="37"/>
        <v>6.2049947236843123E-3</v>
      </c>
      <c r="Q236" s="114">
        <f t="shared" si="38"/>
        <v>39824.821600000003</v>
      </c>
      <c r="R236" s="1">
        <f t="shared" si="40"/>
        <v>2.5178369789155082E-5</v>
      </c>
    </row>
    <row r="237" spans="1:18" x14ac:dyDescent="0.2">
      <c r="A237" s="41" t="s">
        <v>136</v>
      </c>
      <c r="B237" s="46" t="s">
        <v>57</v>
      </c>
      <c r="C237" s="41">
        <v>54861.3177</v>
      </c>
      <c r="D237" s="41">
        <v>1E-3</v>
      </c>
      <c r="E237" s="29">
        <f t="shared" si="35"/>
        <v>10793.011429886941</v>
      </c>
      <c r="F237" s="1">
        <f t="shared" si="36"/>
        <v>10793</v>
      </c>
      <c r="G237" s="1">
        <f t="shared" si="39"/>
        <v>9.7956999961752445E-3</v>
      </c>
      <c r="K237" s="1">
        <f t="shared" si="43"/>
        <v>9.7956999961752445E-3</v>
      </c>
      <c r="O237" s="1">
        <f t="shared" ca="1" si="42"/>
        <v>1.1359835864054821E-2</v>
      </c>
      <c r="P237" s="13">
        <f t="shared" si="37"/>
        <v>6.1435663874871496E-3</v>
      </c>
      <c r="Q237" s="114">
        <f t="shared" si="38"/>
        <v>39842.8177</v>
      </c>
      <c r="R237" s="1">
        <f t="shared" si="40"/>
        <v>1.3338079895709127E-5</v>
      </c>
    </row>
    <row r="238" spans="1:18" x14ac:dyDescent="0.2">
      <c r="A238" s="44" t="s">
        <v>142</v>
      </c>
      <c r="B238" s="37" t="s">
        <v>57</v>
      </c>
      <c r="C238" s="30">
        <v>54895.5985</v>
      </c>
      <c r="D238" s="30">
        <v>5.0000000000000001E-4</v>
      </c>
      <c r="E238" s="29">
        <f t="shared" si="35"/>
        <v>10833.011191854239</v>
      </c>
      <c r="F238" s="1">
        <f t="shared" si="36"/>
        <v>10833</v>
      </c>
      <c r="G238" s="1">
        <f t="shared" si="39"/>
        <v>9.5916999998735264E-3</v>
      </c>
      <c r="K238" s="1">
        <f t="shared" si="43"/>
        <v>9.5916999998735264E-3</v>
      </c>
      <c r="O238" s="1">
        <f t="shared" ca="1" si="42"/>
        <v>1.1303637946174595E-2</v>
      </c>
      <c r="P238" s="13">
        <f t="shared" si="37"/>
        <v>6.0257685126376206E-3</v>
      </c>
      <c r="Q238" s="114">
        <f t="shared" si="38"/>
        <v>39877.0985</v>
      </c>
      <c r="R238" s="1">
        <f t="shared" si="40"/>
        <v>1.2715867371660479E-5</v>
      </c>
    </row>
    <row r="239" spans="1:18" x14ac:dyDescent="0.2">
      <c r="A239" s="44" t="s">
        <v>143</v>
      </c>
      <c r="B239" s="37" t="s">
        <v>57</v>
      </c>
      <c r="C239" s="30">
        <v>55118.427300000003</v>
      </c>
      <c r="D239" s="30">
        <v>1E-4</v>
      </c>
      <c r="E239" s="29">
        <f t="shared" si="35"/>
        <v>11093.013845218771</v>
      </c>
      <c r="F239" s="1">
        <f t="shared" si="36"/>
        <v>11093</v>
      </c>
      <c r="G239" s="1">
        <f t="shared" si="39"/>
        <v>1.1865700005728286E-2</v>
      </c>
      <c r="K239" s="1">
        <f t="shared" si="43"/>
        <v>1.1865700005728286E-2</v>
      </c>
      <c r="O239" s="1">
        <f t="shared" ca="1" si="42"/>
        <v>1.0938351479953128E-2</v>
      </c>
      <c r="P239" s="13">
        <f t="shared" si="37"/>
        <v>5.2347796315722339E-3</v>
      </c>
      <c r="Q239" s="114">
        <f t="shared" si="38"/>
        <v>40099.927300000003</v>
      </c>
      <c r="R239" s="1">
        <f t="shared" si="40"/>
        <v>4.3969105008397836E-5</v>
      </c>
    </row>
    <row r="240" spans="1:18" x14ac:dyDescent="0.2">
      <c r="A240" s="44" t="s">
        <v>143</v>
      </c>
      <c r="B240" s="37" t="s">
        <v>57</v>
      </c>
      <c r="C240" s="30">
        <v>55146.711799999997</v>
      </c>
      <c r="D240" s="30">
        <v>1E-4</v>
      </c>
      <c r="E240" s="29">
        <f t="shared" si="35"/>
        <v>11126.016962630378</v>
      </c>
      <c r="F240" s="1">
        <f t="shared" si="36"/>
        <v>11126</v>
      </c>
      <c r="G240" s="1">
        <f t="shared" si="39"/>
        <v>1.4537399998516776E-2</v>
      </c>
      <c r="K240" s="1">
        <f t="shared" si="43"/>
        <v>1.4537399998516776E-2</v>
      </c>
      <c r="O240" s="1">
        <f t="shared" ca="1" si="42"/>
        <v>1.089198819770194E-2</v>
      </c>
      <c r="P240" s="13">
        <f t="shared" si="37"/>
        <v>5.1312483280326476E-3</v>
      </c>
      <c r="Q240" s="114">
        <f t="shared" si="38"/>
        <v>40128.211799999997</v>
      </c>
      <c r="R240" s="1">
        <f t="shared" si="40"/>
        <v>8.8475689248151347E-5</v>
      </c>
    </row>
    <row r="241" spans="1:18" x14ac:dyDescent="0.2">
      <c r="A241" s="44" t="s">
        <v>143</v>
      </c>
      <c r="B241" s="37" t="s">
        <v>57</v>
      </c>
      <c r="C241" s="30">
        <v>55158.710099999997</v>
      </c>
      <c r="D241" s="30">
        <v>2.0000000000000001E-4</v>
      </c>
      <c r="E241" s="29">
        <f t="shared" si="35"/>
        <v>11140.01690265547</v>
      </c>
      <c r="F241" s="1">
        <f t="shared" si="36"/>
        <v>11140</v>
      </c>
      <c r="G241" s="1">
        <f t="shared" si="39"/>
        <v>1.448599999275757E-2</v>
      </c>
      <c r="K241" s="1">
        <f t="shared" si="43"/>
        <v>1.448599999275757E-2</v>
      </c>
      <c r="O241" s="1">
        <f t="shared" ca="1" si="42"/>
        <v>1.0872318926443861E-2</v>
      </c>
      <c r="P241" s="13">
        <f t="shared" si="37"/>
        <v>5.0871125058980157E-3</v>
      </c>
      <c r="Q241" s="114">
        <f t="shared" si="38"/>
        <v>40140.210099999997</v>
      </c>
      <c r="R241" s="1">
        <f t="shared" si="40"/>
        <v>8.8339085990645101E-5</v>
      </c>
    </row>
    <row r="242" spans="1:18" x14ac:dyDescent="0.2">
      <c r="A242" s="41" t="s">
        <v>144</v>
      </c>
      <c r="B242" s="46" t="s">
        <v>127</v>
      </c>
      <c r="C242" s="41">
        <v>55197.701500000003</v>
      </c>
      <c r="D242" s="41">
        <v>1.8E-3</v>
      </c>
      <c r="E242" s="29">
        <f t="shared" si="35"/>
        <v>11185.513119744102</v>
      </c>
      <c r="F242" s="1">
        <f t="shared" si="36"/>
        <v>11185.5</v>
      </c>
      <c r="G242" s="1">
        <f t="shared" si="39"/>
        <v>1.1243950000789482E-2</v>
      </c>
      <c r="K242" s="1">
        <f t="shared" si="43"/>
        <v>1.1243950000789482E-2</v>
      </c>
      <c r="O242" s="1">
        <f t="shared" ca="1" si="42"/>
        <v>1.0808393794855105E-2</v>
      </c>
      <c r="P242" s="13">
        <f t="shared" si="37"/>
        <v>4.9427928696040152E-3</v>
      </c>
      <c r="Q242" s="114">
        <f t="shared" si="38"/>
        <v>40179.201500000003</v>
      </c>
      <c r="R242" s="1">
        <f t="shared" si="40"/>
        <v>3.9704581191889467E-5</v>
      </c>
    </row>
    <row r="243" spans="1:18" x14ac:dyDescent="0.2">
      <c r="A243" s="44" t="s">
        <v>143</v>
      </c>
      <c r="B243" s="37" t="s">
        <v>57</v>
      </c>
      <c r="C243" s="30">
        <v>55207.558100000002</v>
      </c>
      <c r="D243" s="30">
        <v>1E-4</v>
      </c>
      <c r="E243" s="29">
        <f t="shared" si="35"/>
        <v>11197.014066449163</v>
      </c>
      <c r="F243" s="1">
        <f t="shared" si="36"/>
        <v>11197</v>
      </c>
      <c r="G243" s="1">
        <f t="shared" si="39"/>
        <v>1.2055300001520663E-2</v>
      </c>
      <c r="K243" s="1">
        <f t="shared" si="43"/>
        <v>1.2055300001520663E-2</v>
      </c>
      <c r="O243" s="1">
        <f t="shared" ca="1" si="42"/>
        <v>1.0792236893464539E-2</v>
      </c>
      <c r="P243" s="13">
        <f t="shared" si="37"/>
        <v>4.9061038380610045E-3</v>
      </c>
      <c r="Q243" s="114">
        <f t="shared" si="38"/>
        <v>40189.058100000002</v>
      </c>
      <c r="R243" s="1">
        <f t="shared" si="40"/>
        <v>5.111100578362631E-5</v>
      </c>
    </row>
    <row r="244" spans="1:18" x14ac:dyDescent="0.2">
      <c r="A244" s="30" t="s">
        <v>145</v>
      </c>
      <c r="B244" s="37" t="s">
        <v>127</v>
      </c>
      <c r="C244" s="30">
        <v>55506.658100000001</v>
      </c>
      <c r="D244" s="30">
        <v>2.9999999999999997E-4</v>
      </c>
      <c r="E244" s="29">
        <f t="shared" si="35"/>
        <v>11546.012012950378</v>
      </c>
      <c r="F244" s="1">
        <f t="shared" si="36"/>
        <v>11546</v>
      </c>
      <c r="G244" s="1">
        <f t="shared" si="39"/>
        <v>1.0295400003087707E-2</v>
      </c>
      <c r="K244" s="1">
        <f t="shared" si="43"/>
        <v>1.0295400003087707E-2</v>
      </c>
      <c r="O244" s="1">
        <f t="shared" ca="1" si="42"/>
        <v>1.0301910059959569E-2</v>
      </c>
      <c r="P244" s="13">
        <f t="shared" si="37"/>
        <v>3.7518580809995164E-3</v>
      </c>
      <c r="Q244" s="114">
        <f t="shared" si="38"/>
        <v>40488.158100000001</v>
      </c>
      <c r="R244" s="1">
        <f t="shared" si="40"/>
        <v>4.281794088612561E-5</v>
      </c>
    </row>
    <row r="245" spans="1:18" x14ac:dyDescent="0.2">
      <c r="A245" s="30" t="s">
        <v>145</v>
      </c>
      <c r="B245" s="37" t="s">
        <v>127</v>
      </c>
      <c r="C245" s="30">
        <v>55585.506099999999</v>
      </c>
      <c r="D245" s="30">
        <v>2.0000000000000001E-4</v>
      </c>
      <c r="E245" s="29">
        <f t="shared" si="35"/>
        <v>11638.013985821415</v>
      </c>
      <c r="F245" s="1">
        <f t="shared" si="36"/>
        <v>11638</v>
      </c>
      <c r="G245" s="1">
        <f t="shared" si="39"/>
        <v>1.198619999922812E-2</v>
      </c>
      <c r="K245" s="1">
        <f t="shared" si="43"/>
        <v>1.198619999922812E-2</v>
      </c>
      <c r="O245" s="1">
        <f t="shared" ca="1" si="42"/>
        <v>1.0172654848835051E-2</v>
      </c>
      <c r="P245" s="13">
        <f t="shared" si="37"/>
        <v>3.4344256992933433E-3</v>
      </c>
      <c r="Q245" s="114">
        <f t="shared" si="38"/>
        <v>40567.006099999999</v>
      </c>
      <c r="R245" s="1">
        <f t="shared" si="40"/>
        <v>7.3132843677024934E-5</v>
      </c>
    </row>
    <row r="246" spans="1:18" x14ac:dyDescent="0.2">
      <c r="A246" s="30" t="s">
        <v>145</v>
      </c>
      <c r="B246" s="37" t="s">
        <v>127</v>
      </c>
      <c r="C246" s="30">
        <v>55602.6466</v>
      </c>
      <c r="D246" s="30">
        <v>1E-4</v>
      </c>
      <c r="E246" s="29">
        <f t="shared" si="35"/>
        <v>11658.013983487763</v>
      </c>
      <c r="F246" s="1">
        <f t="shared" si="36"/>
        <v>11658</v>
      </c>
      <c r="G246" s="1">
        <f t="shared" si="39"/>
        <v>1.1984199998551048E-2</v>
      </c>
      <c r="K246" s="1">
        <f t="shared" si="43"/>
        <v>1.1984199998551048E-2</v>
      </c>
      <c r="O246" s="1">
        <f t="shared" ca="1" si="42"/>
        <v>1.0144555889894939E-2</v>
      </c>
      <c r="P246" s="13">
        <f t="shared" si="37"/>
        <v>3.3646920183076703E-3</v>
      </c>
      <c r="Q246" s="114">
        <f t="shared" si="38"/>
        <v>40584.1466</v>
      </c>
      <c r="R246" s="1">
        <f t="shared" si="40"/>
        <v>7.4295917821479279E-5</v>
      </c>
    </row>
    <row r="247" spans="1:18" x14ac:dyDescent="0.2">
      <c r="A247" s="44" t="s">
        <v>146</v>
      </c>
      <c r="B247" s="37" t="s">
        <v>57</v>
      </c>
      <c r="C247" s="30">
        <v>55849.464699999997</v>
      </c>
      <c r="D247" s="30">
        <v>1.1999999999999999E-3</v>
      </c>
      <c r="E247" s="29">
        <f t="shared" si="35"/>
        <v>11946.0079990656</v>
      </c>
      <c r="F247" s="1">
        <f t="shared" si="36"/>
        <v>11946</v>
      </c>
      <c r="G247" s="1">
        <f t="shared" si="39"/>
        <v>6.8553999954019673E-3</v>
      </c>
      <c r="J247" s="1">
        <f>G247</f>
        <v>6.8553999954019673E-3</v>
      </c>
      <c r="O247" s="1">
        <f t="shared" ca="1" si="42"/>
        <v>9.7399308811573111E-3</v>
      </c>
      <c r="P247" s="13">
        <f t="shared" si="37"/>
        <v>2.331752009334824E-3</v>
      </c>
      <c r="Q247" s="114">
        <f t="shared" si="38"/>
        <v>40830.964699999997</v>
      </c>
      <c r="R247" s="1">
        <f t="shared" si="40"/>
        <v>2.0463391101849322E-5</v>
      </c>
    </row>
    <row r="248" spans="1:18" x14ac:dyDescent="0.2">
      <c r="A248" s="33" t="s">
        <v>147</v>
      </c>
      <c r="B248" s="34" t="s">
        <v>57</v>
      </c>
      <c r="C248" s="33">
        <v>55850.321199999998</v>
      </c>
      <c r="D248" s="32"/>
      <c r="E248" s="29">
        <f t="shared" si="35"/>
        <v>11947.007386364759</v>
      </c>
      <c r="F248" s="1">
        <f t="shared" si="36"/>
        <v>11947</v>
      </c>
      <c r="G248" s="1">
        <f t="shared" si="39"/>
        <v>6.3302999988081865E-3</v>
      </c>
      <c r="K248" s="1">
        <f>G248</f>
        <v>6.3302999988081865E-3</v>
      </c>
      <c r="O248" s="1">
        <f t="shared" ca="1" si="42"/>
        <v>9.7385259332103055E-3</v>
      </c>
      <c r="P248" s="13">
        <f t="shared" si="37"/>
        <v>2.328071662354228E-3</v>
      </c>
      <c r="Q248" s="114">
        <f t="shared" si="38"/>
        <v>40831.821199999998</v>
      </c>
      <c r="R248" s="1">
        <f t="shared" si="40"/>
        <v>1.601783165711502E-5</v>
      </c>
    </row>
    <row r="249" spans="1:18" x14ac:dyDescent="0.2">
      <c r="A249" s="47" t="s">
        <v>148</v>
      </c>
      <c r="B249" s="48" t="s">
        <v>57</v>
      </c>
      <c r="C249" s="49">
        <v>55850.3223</v>
      </c>
      <c r="D249" s="49">
        <v>2.9999999999999997E-4</v>
      </c>
      <c r="E249" s="29">
        <f t="shared" si="35"/>
        <v>11947.008669874427</v>
      </c>
      <c r="F249" s="1">
        <f t="shared" si="36"/>
        <v>11947</v>
      </c>
      <c r="G249" s="1">
        <f t="shared" si="39"/>
        <v>7.4303000001236796E-3</v>
      </c>
      <c r="K249" s="1">
        <f>G249</f>
        <v>7.4303000001236796E-3</v>
      </c>
      <c r="O249" s="1">
        <f t="shared" ca="1" si="42"/>
        <v>9.7385259332103055E-3</v>
      </c>
      <c r="P249" s="13">
        <f t="shared" si="37"/>
        <v>2.328071662354228E-3</v>
      </c>
      <c r="Q249" s="114">
        <f t="shared" si="38"/>
        <v>40831.8223</v>
      </c>
      <c r="R249" s="1">
        <f t="shared" si="40"/>
        <v>2.6032734010737622E-5</v>
      </c>
    </row>
    <row r="250" spans="1:18" x14ac:dyDescent="0.2">
      <c r="A250" s="41" t="s">
        <v>149</v>
      </c>
      <c r="B250" s="46" t="s">
        <v>57</v>
      </c>
      <c r="C250" s="41">
        <v>55852.892399999997</v>
      </c>
      <c r="D250" s="41">
        <v>4.0000000000000002E-4</v>
      </c>
      <c r="E250" s="29">
        <f t="shared" si="35"/>
        <v>11950.007531868081</v>
      </c>
      <c r="F250" s="1">
        <f t="shared" si="36"/>
        <v>11950</v>
      </c>
      <c r="G250" s="1">
        <f t="shared" si="39"/>
        <v>6.4549999951850623E-3</v>
      </c>
      <c r="K250" s="1">
        <f>G250</f>
        <v>6.4549999951850623E-3</v>
      </c>
      <c r="O250" s="1">
        <f t="shared" ca="1" si="42"/>
        <v>9.7343110893692887E-3</v>
      </c>
      <c r="P250" s="13">
        <f t="shared" si="37"/>
        <v>2.3170267286902052E-3</v>
      </c>
      <c r="Q250" s="114">
        <f t="shared" si="38"/>
        <v>40834.392399999997</v>
      </c>
      <c r="R250" s="1">
        <f t="shared" si="40"/>
        <v>1.7122822754226117E-5</v>
      </c>
    </row>
    <row r="251" spans="1:18" x14ac:dyDescent="0.2">
      <c r="A251" s="33" t="s">
        <v>150</v>
      </c>
      <c r="B251" s="34" t="s">
        <v>57</v>
      </c>
      <c r="C251" s="33">
        <v>55863.174899999998</v>
      </c>
      <c r="D251" s="32"/>
      <c r="E251" s="29">
        <f t="shared" si="35"/>
        <v>11962.005430179346</v>
      </c>
      <c r="F251" s="1">
        <f t="shared" si="36"/>
        <v>11962</v>
      </c>
      <c r="G251" s="1">
        <f t="shared" si="39"/>
        <v>4.6537999951397069E-3</v>
      </c>
      <c r="K251" s="1">
        <f>G251</f>
        <v>4.6537999951397069E-3</v>
      </c>
      <c r="O251" s="1">
        <f t="shared" ca="1" si="42"/>
        <v>9.7174517140052215E-3</v>
      </c>
      <c r="P251" s="13">
        <f t="shared" si="37"/>
        <v>2.272788603200529E-3</v>
      </c>
      <c r="Q251" s="114">
        <f t="shared" si="38"/>
        <v>40844.674899999998</v>
      </c>
      <c r="R251" s="1">
        <f t="shared" si="40"/>
        <v>5.6692152485441417E-6</v>
      </c>
    </row>
    <row r="252" spans="1:18" x14ac:dyDescent="0.2">
      <c r="A252" s="33" t="s">
        <v>150</v>
      </c>
      <c r="B252" s="34" t="s">
        <v>57</v>
      </c>
      <c r="C252" s="33">
        <v>55863.178500000002</v>
      </c>
      <c r="D252" s="32"/>
      <c r="E252" s="29">
        <f t="shared" si="35"/>
        <v>11962.00963075644</v>
      </c>
      <c r="F252" s="1">
        <f t="shared" si="36"/>
        <v>11962</v>
      </c>
      <c r="G252" s="1">
        <f t="shared" si="39"/>
        <v>8.2537999987835065E-3</v>
      </c>
      <c r="K252" s="1">
        <f>G252</f>
        <v>8.2537999987835065E-3</v>
      </c>
      <c r="O252" s="1">
        <f t="shared" ca="1" si="42"/>
        <v>9.7174517140052215E-3</v>
      </c>
      <c r="P252" s="13">
        <f t="shared" si="37"/>
        <v>2.272788603200529E-3</v>
      </c>
      <c r="Q252" s="114">
        <f t="shared" si="38"/>
        <v>40844.678500000002</v>
      </c>
      <c r="R252" s="1">
        <f t="shared" si="40"/>
        <v>3.5772497314093432E-5</v>
      </c>
    </row>
    <row r="253" spans="1:18" x14ac:dyDescent="0.2">
      <c r="A253" s="30" t="s">
        <v>151</v>
      </c>
      <c r="B253" s="37" t="s">
        <v>57</v>
      </c>
      <c r="C253" s="30">
        <v>55964.313199999997</v>
      </c>
      <c r="D253" s="30">
        <v>2.9999999999999997E-4</v>
      </c>
      <c r="E253" s="29">
        <f t="shared" si="35"/>
        <v>12080.016326242949</v>
      </c>
      <c r="F253" s="1">
        <f t="shared" si="36"/>
        <v>12080</v>
      </c>
      <c r="G253" s="1">
        <f t="shared" si="39"/>
        <v>1.3991999992867932E-2</v>
      </c>
      <c r="J253" s="1">
        <f>G253</f>
        <v>1.3991999992867932E-2</v>
      </c>
      <c r="O253" s="1">
        <f t="shared" ca="1" si="42"/>
        <v>9.5516678562585534E-3</v>
      </c>
      <c r="P253" s="13">
        <f t="shared" si="37"/>
        <v>1.8328041726252478E-3</v>
      </c>
      <c r="Q253" s="114">
        <f t="shared" si="38"/>
        <v>40945.813199999997</v>
      </c>
      <c r="R253" s="1">
        <f t="shared" si="40"/>
        <v>1.4784604299500717E-4</v>
      </c>
    </row>
    <row r="254" spans="1:18" x14ac:dyDescent="0.2">
      <c r="A254" s="33" t="s">
        <v>152</v>
      </c>
      <c r="B254" s="34" t="s">
        <v>57</v>
      </c>
      <c r="C254" s="33">
        <v>56182.8482</v>
      </c>
      <c r="D254" s="32"/>
      <c r="E254" s="29">
        <f t="shared" si="35"/>
        <v>12335.008857966935</v>
      </c>
      <c r="F254" s="1">
        <f t="shared" si="36"/>
        <v>12335</v>
      </c>
      <c r="G254" s="1">
        <f t="shared" si="39"/>
        <v>7.5914999979431741E-3</v>
      </c>
      <c r="K254" s="1">
        <f t="shared" ref="K254:K287" si="44">G254</f>
        <v>7.5914999979431741E-3</v>
      </c>
      <c r="O254" s="1">
        <f t="shared" ca="1" si="42"/>
        <v>9.1934061297721144E-3</v>
      </c>
      <c r="P254" s="13">
        <f t="shared" si="37"/>
        <v>8.511356711542184E-4</v>
      </c>
      <c r="Q254" s="114">
        <f t="shared" si="38"/>
        <v>41164.3482</v>
      </c>
      <c r="R254" s="1">
        <f t="shared" si="40"/>
        <v>4.5432511257849134E-5</v>
      </c>
    </row>
    <row r="255" spans="1:18" x14ac:dyDescent="0.2">
      <c r="A255" s="44" t="s">
        <v>153</v>
      </c>
      <c r="B255" s="37" t="s">
        <v>57</v>
      </c>
      <c r="C255" s="30">
        <v>56182.848299999998</v>
      </c>
      <c r="D255" s="30">
        <v>2.9999999999999997E-4</v>
      </c>
      <c r="E255" s="29">
        <f t="shared" si="35"/>
        <v>12335.008974649631</v>
      </c>
      <c r="F255" s="1">
        <f t="shared" si="36"/>
        <v>12335</v>
      </c>
      <c r="G255" s="1">
        <f t="shared" ref="G255:G286" si="45">+C255-(C$7+F255*C$8)</f>
        <v>7.6914999954169616E-3</v>
      </c>
      <c r="K255" s="1">
        <f t="shared" si="44"/>
        <v>7.6914999954169616E-3</v>
      </c>
      <c r="O255" s="1">
        <f t="shared" ca="1" si="42"/>
        <v>9.1934061297721144E-3</v>
      </c>
      <c r="P255" s="13">
        <f t="shared" si="37"/>
        <v>8.511356711542184E-4</v>
      </c>
      <c r="Q255" s="114">
        <f t="shared" si="38"/>
        <v>41164.348299999998</v>
      </c>
      <c r="R255" s="1">
        <f t="shared" ref="R255:R287" si="46">+(P255-G255)^2</f>
        <v>4.6790584088646492E-5</v>
      </c>
    </row>
    <row r="256" spans="1:18" x14ac:dyDescent="0.2">
      <c r="A256" s="44" t="s">
        <v>153</v>
      </c>
      <c r="B256" s="37" t="s">
        <v>57</v>
      </c>
      <c r="C256" s="30">
        <v>56212.843099999998</v>
      </c>
      <c r="D256" s="30">
        <v>1E-4</v>
      </c>
      <c r="E256" s="29">
        <f t="shared" si="35"/>
        <v>12370.007716226744</v>
      </c>
      <c r="F256" s="1">
        <f t="shared" si="36"/>
        <v>12370</v>
      </c>
      <c r="G256" s="1">
        <f t="shared" si="45"/>
        <v>6.6129999977420084E-3</v>
      </c>
      <c r="K256" s="1">
        <f t="shared" si="44"/>
        <v>6.6129999977420084E-3</v>
      </c>
      <c r="O256" s="1">
        <f t="shared" ca="1" si="42"/>
        <v>9.1442329516269148E-3</v>
      </c>
      <c r="P256" s="13">
        <f t="shared" si="37"/>
        <v>7.1310426300098123E-4</v>
      </c>
      <c r="Q256" s="114">
        <f t="shared" si="38"/>
        <v>41194.343099999998</v>
      </c>
      <c r="R256" s="1">
        <f t="shared" si="46"/>
        <v>3.4808769680815362E-5</v>
      </c>
    </row>
    <row r="257" spans="1:18" x14ac:dyDescent="0.2">
      <c r="A257" s="44" t="s">
        <v>153</v>
      </c>
      <c r="B257" s="37" t="s">
        <v>57</v>
      </c>
      <c r="C257" s="30">
        <v>56255.694499999998</v>
      </c>
      <c r="D257" s="30">
        <v>2.0000000000000001E-4</v>
      </c>
      <c r="E257" s="29">
        <f t="shared" si="35"/>
        <v>12420.007885416653</v>
      </c>
      <c r="F257" s="1">
        <f t="shared" si="36"/>
        <v>12420</v>
      </c>
      <c r="G257" s="1">
        <f t="shared" si="45"/>
        <v>6.7579999958979897E-3</v>
      </c>
      <c r="K257" s="1">
        <f t="shared" si="44"/>
        <v>6.7579999958979897E-3</v>
      </c>
      <c r="O257" s="1">
        <f t="shared" ca="1" si="42"/>
        <v>9.0739855542766347E-3</v>
      </c>
      <c r="P257" s="13">
        <f t="shared" si="37"/>
        <v>5.1453786460868567E-4</v>
      </c>
      <c r="Q257" s="114">
        <f t="shared" si="38"/>
        <v>41237.194499999998</v>
      </c>
      <c r="R257" s="1">
        <f t="shared" si="46"/>
        <v>3.8980819384843582E-5</v>
      </c>
    </row>
    <row r="258" spans="1:18" x14ac:dyDescent="0.2">
      <c r="A258" s="44" t="s">
        <v>154</v>
      </c>
      <c r="B258" s="37" t="s">
        <v>57</v>
      </c>
      <c r="C258" s="30">
        <v>56279.693200000002</v>
      </c>
      <c r="D258" s="30">
        <v>3.0000000000000003E-4</v>
      </c>
      <c r="E258" s="29">
        <f t="shared" si="35"/>
        <v>12448.010215803481</v>
      </c>
      <c r="F258" s="1">
        <f t="shared" si="36"/>
        <v>12448</v>
      </c>
      <c r="G258" s="1">
        <f t="shared" si="45"/>
        <v>8.7551999968127348E-3</v>
      </c>
      <c r="K258" s="1">
        <f t="shared" si="44"/>
        <v>8.7551999968127348E-3</v>
      </c>
      <c r="O258" s="1">
        <f t="shared" ca="1" si="42"/>
        <v>9.0346470117604744E-3</v>
      </c>
      <c r="P258" s="13">
        <f t="shared" si="37"/>
        <v>4.0263220606178568E-4</v>
      </c>
      <c r="Q258" s="114">
        <f t="shared" si="38"/>
        <v>41261.193200000002</v>
      </c>
      <c r="R258" s="1">
        <f t="shared" si="46"/>
        <v>6.9765388699090188E-5</v>
      </c>
    </row>
    <row r="259" spans="1:18" x14ac:dyDescent="0.2">
      <c r="A259" s="44" t="s">
        <v>155</v>
      </c>
      <c r="B259" s="37" t="s">
        <v>57</v>
      </c>
      <c r="C259" s="30">
        <v>56566.793100000003</v>
      </c>
      <c r="D259" s="30">
        <v>2.9999999999999997E-4</v>
      </c>
      <c r="E259" s="29">
        <f t="shared" si="35"/>
        <v>12783.00612199106</v>
      </c>
      <c r="F259" s="1">
        <f t="shared" si="36"/>
        <v>12783</v>
      </c>
      <c r="G259" s="1">
        <f t="shared" si="45"/>
        <v>5.2466999986791052E-3</v>
      </c>
      <c r="K259" s="1">
        <f t="shared" si="44"/>
        <v>5.2466999986791052E-3</v>
      </c>
      <c r="O259" s="1">
        <f t="shared" ca="1" si="42"/>
        <v>8.5639894495135836E-3</v>
      </c>
      <c r="P259" s="13">
        <f t="shared" si="37"/>
        <v>-9.7568693981237714E-4</v>
      </c>
      <c r="Q259" s="114">
        <f t="shared" si="38"/>
        <v>41548.293100000003</v>
      </c>
      <c r="R259" s="1">
        <f t="shared" si="46"/>
        <v>3.87180992123094E-5</v>
      </c>
    </row>
    <row r="260" spans="1:18" x14ac:dyDescent="0.2">
      <c r="A260" s="44" t="s">
        <v>155</v>
      </c>
      <c r="B260" s="37" t="s">
        <v>57</v>
      </c>
      <c r="C260" s="30">
        <v>56681.634899999997</v>
      </c>
      <c r="D260" s="30">
        <v>1E-4</v>
      </c>
      <c r="E260" s="29">
        <f t="shared" si="35"/>
        <v>12917.00663142771</v>
      </c>
      <c r="F260" s="1">
        <f t="shared" si="36"/>
        <v>12917</v>
      </c>
      <c r="G260" s="1">
        <f t="shared" si="45"/>
        <v>5.6832999980542809E-3</v>
      </c>
      <c r="K260" s="1">
        <f t="shared" si="44"/>
        <v>5.6832999980542809E-3</v>
      </c>
      <c r="O260" s="1">
        <f t="shared" ref="O260:O287" ca="1" si="47">+C$11+C$12*F260</f>
        <v>8.3757264246148259E-3</v>
      </c>
      <c r="P260" s="13">
        <f t="shared" si="37"/>
        <v>-1.5474014333066097E-3</v>
      </c>
      <c r="Q260" s="114">
        <f t="shared" si="38"/>
        <v>41663.134899999997</v>
      </c>
      <c r="R260" s="1">
        <f t="shared" si="46"/>
        <v>5.2283043189484433E-5</v>
      </c>
    </row>
    <row r="261" spans="1:18" x14ac:dyDescent="0.2">
      <c r="A261" s="47" t="s">
        <v>148</v>
      </c>
      <c r="B261" s="48" t="s">
        <v>57</v>
      </c>
      <c r="C261" s="49">
        <v>56928.459000000003</v>
      </c>
      <c r="D261" s="49">
        <v>1E-4</v>
      </c>
      <c r="E261" s="29">
        <f t="shared" si="35"/>
        <v>13205.007647967372</v>
      </c>
      <c r="F261" s="1">
        <f t="shared" si="36"/>
        <v>13205</v>
      </c>
      <c r="G261" s="1">
        <f t="shared" si="45"/>
        <v>6.5545000034035183E-3</v>
      </c>
      <c r="K261" s="1">
        <f t="shared" si="44"/>
        <v>6.5545000034035183E-3</v>
      </c>
      <c r="O261" s="1">
        <f t="shared" ca="1" si="47"/>
        <v>7.971101415877202E-3</v>
      </c>
      <c r="P261" s="13">
        <f t="shared" si="37"/>
        <v>-2.8155864325330113E-3</v>
      </c>
      <c r="Q261" s="114">
        <f t="shared" si="38"/>
        <v>41909.959000000003</v>
      </c>
      <c r="R261" s="1">
        <f t="shared" si="46"/>
        <v>8.7798519816921741E-5</v>
      </c>
    </row>
    <row r="262" spans="1:18" x14ac:dyDescent="0.2">
      <c r="A262" s="33" t="s">
        <v>156</v>
      </c>
      <c r="B262" s="34" t="s">
        <v>57</v>
      </c>
      <c r="C262" s="33">
        <v>56956.7402</v>
      </c>
      <c r="D262" s="32"/>
      <c r="E262" s="29">
        <f t="shared" si="35"/>
        <v>13238.006914849984</v>
      </c>
      <c r="F262" s="1">
        <f t="shared" si="36"/>
        <v>13238</v>
      </c>
      <c r="G262" s="1">
        <f t="shared" si="45"/>
        <v>5.9261999995214865E-3</v>
      </c>
      <c r="K262" s="1">
        <f t="shared" si="44"/>
        <v>5.9261999995214865E-3</v>
      </c>
      <c r="O262" s="1">
        <f t="shared" ca="1" si="47"/>
        <v>7.9247381336260136E-3</v>
      </c>
      <c r="P262" s="13">
        <f t="shared" si="37"/>
        <v>-2.9643355975828081E-3</v>
      </c>
      <c r="Q262" s="114">
        <f t="shared" si="38"/>
        <v>41938.2402</v>
      </c>
      <c r="R262" s="1">
        <f t="shared" si="46"/>
        <v>7.904162320337861E-5</v>
      </c>
    </row>
    <row r="263" spans="1:18" x14ac:dyDescent="0.2">
      <c r="A263" s="50" t="s">
        <v>157</v>
      </c>
      <c r="B263" s="51" t="s">
        <v>57</v>
      </c>
      <c r="C263" s="52">
        <v>56956.7402</v>
      </c>
      <c r="D263" s="52">
        <v>1E-4</v>
      </c>
      <c r="E263" s="29">
        <f t="shared" si="35"/>
        <v>13238.006914849984</v>
      </c>
      <c r="F263" s="1">
        <f t="shared" si="36"/>
        <v>13238</v>
      </c>
      <c r="G263" s="1">
        <f t="shared" si="45"/>
        <v>5.9261999995214865E-3</v>
      </c>
      <c r="K263" s="1">
        <f t="shared" si="44"/>
        <v>5.9261999995214865E-3</v>
      </c>
      <c r="O263" s="1">
        <f t="shared" ca="1" si="47"/>
        <v>7.9247381336260136E-3</v>
      </c>
      <c r="P263" s="13">
        <f t="shared" si="37"/>
        <v>-2.9643355975828081E-3</v>
      </c>
      <c r="Q263" s="114">
        <f t="shared" si="38"/>
        <v>41938.2402</v>
      </c>
      <c r="R263" s="1">
        <f t="shared" si="46"/>
        <v>7.904162320337861E-5</v>
      </c>
    </row>
    <row r="264" spans="1:18" x14ac:dyDescent="0.2">
      <c r="A264" s="50" t="s">
        <v>158</v>
      </c>
      <c r="B264" s="51" t="s">
        <v>57</v>
      </c>
      <c r="C264" s="52">
        <v>56956.7402</v>
      </c>
      <c r="D264" s="52">
        <v>1E-4</v>
      </c>
      <c r="E264" s="29">
        <f t="shared" si="35"/>
        <v>13238.006914849984</v>
      </c>
      <c r="F264" s="1">
        <f t="shared" si="36"/>
        <v>13238</v>
      </c>
      <c r="G264" s="1">
        <f t="shared" si="45"/>
        <v>5.9261999995214865E-3</v>
      </c>
      <c r="K264" s="1">
        <f t="shared" si="44"/>
        <v>5.9261999995214865E-3</v>
      </c>
      <c r="O264" s="1">
        <f t="shared" ca="1" si="47"/>
        <v>7.9247381336260136E-3</v>
      </c>
      <c r="P264" s="13">
        <f t="shared" si="37"/>
        <v>-2.9643355975828081E-3</v>
      </c>
      <c r="Q264" s="114">
        <f t="shared" si="38"/>
        <v>41938.2402</v>
      </c>
      <c r="R264" s="1">
        <f t="shared" si="46"/>
        <v>7.904162320337861E-5</v>
      </c>
    </row>
    <row r="265" spans="1:18" x14ac:dyDescent="0.2">
      <c r="A265" s="33" t="s">
        <v>156</v>
      </c>
      <c r="B265" s="34" t="s">
        <v>57</v>
      </c>
      <c r="C265" s="33">
        <v>56998.733899999999</v>
      </c>
      <c r="D265" s="32"/>
      <c r="E265" s="29">
        <f t="shared" si="35"/>
        <v>13287.006296548372</v>
      </c>
      <c r="F265" s="1">
        <f t="shared" si="36"/>
        <v>13287</v>
      </c>
      <c r="G265" s="1">
        <f t="shared" si="45"/>
        <v>5.3962999954819679E-3</v>
      </c>
      <c r="K265" s="1">
        <f t="shared" si="44"/>
        <v>5.3962999954819679E-3</v>
      </c>
      <c r="O265" s="1">
        <f t="shared" ca="1" si="47"/>
        <v>7.8558956842227391E-3</v>
      </c>
      <c r="P265" s="13">
        <f t="shared" si="37"/>
        <v>-3.1865089830919943E-3</v>
      </c>
      <c r="Q265" s="114">
        <f t="shared" si="38"/>
        <v>41980.233899999999</v>
      </c>
      <c r="R265" s="1">
        <f t="shared" si="46"/>
        <v>7.3664609962689818E-5</v>
      </c>
    </row>
    <row r="266" spans="1:18" x14ac:dyDescent="0.2">
      <c r="A266" s="50" t="s">
        <v>157</v>
      </c>
      <c r="B266" s="51" t="s">
        <v>57</v>
      </c>
      <c r="C266" s="52">
        <v>56998.733899999999</v>
      </c>
      <c r="D266" s="52">
        <v>2.0000000000000001E-4</v>
      </c>
      <c r="E266" s="29">
        <f t="shared" si="35"/>
        <v>13287.006296548372</v>
      </c>
      <c r="F266" s="1">
        <f t="shared" si="36"/>
        <v>13287</v>
      </c>
      <c r="G266" s="1">
        <f t="shared" si="45"/>
        <v>5.3962999954819679E-3</v>
      </c>
      <c r="K266" s="1">
        <f t="shared" si="44"/>
        <v>5.3962999954819679E-3</v>
      </c>
      <c r="O266" s="1">
        <f t="shared" ca="1" si="47"/>
        <v>7.8558956842227391E-3</v>
      </c>
      <c r="P266" s="13">
        <f t="shared" si="37"/>
        <v>-3.1865089830919943E-3</v>
      </c>
      <c r="Q266" s="114">
        <f t="shared" si="38"/>
        <v>41980.233899999999</v>
      </c>
      <c r="R266" s="1">
        <f t="shared" si="46"/>
        <v>7.3664609962689818E-5</v>
      </c>
    </row>
    <row r="267" spans="1:18" x14ac:dyDescent="0.2">
      <c r="A267" s="50" t="s">
        <v>158</v>
      </c>
      <c r="B267" s="51" t="s">
        <v>57</v>
      </c>
      <c r="C267" s="52">
        <v>56998.733899999999</v>
      </c>
      <c r="D267" s="52">
        <v>2.0000000000000001E-4</v>
      </c>
      <c r="E267" s="29">
        <f t="shared" si="35"/>
        <v>13287.006296548372</v>
      </c>
      <c r="F267" s="1">
        <f t="shared" si="36"/>
        <v>13287</v>
      </c>
      <c r="G267" s="1">
        <f t="shared" si="45"/>
        <v>5.3962999954819679E-3</v>
      </c>
      <c r="K267" s="1">
        <f t="shared" si="44"/>
        <v>5.3962999954819679E-3</v>
      </c>
      <c r="O267" s="1">
        <f t="shared" ca="1" si="47"/>
        <v>7.8558956842227391E-3</v>
      </c>
      <c r="P267" s="13">
        <f t="shared" si="37"/>
        <v>-3.1865089830919943E-3</v>
      </c>
      <c r="Q267" s="114">
        <f t="shared" si="38"/>
        <v>41980.233899999999</v>
      </c>
      <c r="R267" s="1">
        <f t="shared" si="46"/>
        <v>7.3664609962689818E-5</v>
      </c>
    </row>
    <row r="268" spans="1:18" x14ac:dyDescent="0.2">
      <c r="A268" s="47" t="s">
        <v>148</v>
      </c>
      <c r="B268" s="48" t="s">
        <v>57</v>
      </c>
      <c r="C268" s="49">
        <v>57257.559099999999</v>
      </c>
      <c r="D268" s="49">
        <v>1E-4</v>
      </c>
      <c r="E268" s="29">
        <f t="shared" si="35"/>
        <v>13589.010520228634</v>
      </c>
      <c r="F268" s="1">
        <f t="shared" si="36"/>
        <v>13589</v>
      </c>
      <c r="G268" s="1">
        <f t="shared" si="45"/>
        <v>9.0160999970976263E-3</v>
      </c>
      <c r="K268" s="1">
        <f t="shared" si="44"/>
        <v>9.0160999970976263E-3</v>
      </c>
      <c r="O268" s="1">
        <f t="shared" ca="1" si="47"/>
        <v>7.4316014042270333E-3</v>
      </c>
      <c r="P268" s="13">
        <f t="shared" si="37"/>
        <v>-4.5902088638289928E-3</v>
      </c>
      <c r="Q268" s="114">
        <f t="shared" si="38"/>
        <v>42239.059099999999</v>
      </c>
      <c r="R268" s="1">
        <f t="shared" si="46"/>
        <v>1.8513164081893023E-4</v>
      </c>
    </row>
    <row r="269" spans="1:18" x14ac:dyDescent="0.2">
      <c r="A269" s="50" t="s">
        <v>159</v>
      </c>
      <c r="B269" s="51" t="s">
        <v>57</v>
      </c>
      <c r="C269" s="52">
        <v>57261.8442</v>
      </c>
      <c r="D269" s="52">
        <v>2.0000000000000001E-4</v>
      </c>
      <c r="E269" s="29">
        <f t="shared" si="35"/>
        <v>13594.010490474548</v>
      </c>
      <c r="F269" s="1">
        <f t="shared" si="36"/>
        <v>13594</v>
      </c>
      <c r="G269" s="1">
        <f t="shared" si="45"/>
        <v>8.990599999378901E-3</v>
      </c>
      <c r="K269" s="1">
        <f t="shared" si="44"/>
        <v>8.990599999378901E-3</v>
      </c>
      <c r="O269" s="1">
        <f t="shared" ca="1" si="47"/>
        <v>7.4245766644920053E-3</v>
      </c>
      <c r="P269" s="13">
        <f t="shared" si="37"/>
        <v>-4.6139468721324781E-3</v>
      </c>
      <c r="Q269" s="114">
        <f t="shared" si="38"/>
        <v>42243.3442</v>
      </c>
      <c r="R269" s="1">
        <f t="shared" si="46"/>
        <v>1.8508369557915005E-4</v>
      </c>
    </row>
    <row r="270" spans="1:18" x14ac:dyDescent="0.2">
      <c r="A270" s="53" t="s">
        <v>160</v>
      </c>
      <c r="B270" s="54" t="s">
        <v>57</v>
      </c>
      <c r="C270" s="55">
        <v>57276.411899999999</v>
      </c>
      <c r="D270" s="55">
        <v>2.3E-3</v>
      </c>
      <c r="E270" s="29">
        <f t="shared" si="35"/>
        <v>13611.00847571442</v>
      </c>
      <c r="F270" s="1">
        <f t="shared" si="36"/>
        <v>13611</v>
      </c>
      <c r="G270" s="1">
        <f t="shared" si="45"/>
        <v>7.2638999990886077E-3</v>
      </c>
      <c r="K270" s="1">
        <f t="shared" si="44"/>
        <v>7.2638999990886077E-3</v>
      </c>
      <c r="O270" s="1">
        <f t="shared" ca="1" si="47"/>
        <v>7.40069254939291E-3</v>
      </c>
      <c r="P270" s="13">
        <f t="shared" si="37"/>
        <v>-4.6947774235407344E-3</v>
      </c>
      <c r="Q270" s="114">
        <f t="shared" si="38"/>
        <v>42257.911899999999</v>
      </c>
      <c r="R270" s="1">
        <f t="shared" si="46"/>
        <v>1.4300996569850476E-4</v>
      </c>
    </row>
    <row r="271" spans="1:18" x14ac:dyDescent="0.2">
      <c r="A271" s="47" t="s">
        <v>148</v>
      </c>
      <c r="B271" s="48" t="s">
        <v>57</v>
      </c>
      <c r="C271" s="49">
        <v>57276.413500000002</v>
      </c>
      <c r="D271" s="49">
        <v>1E-4</v>
      </c>
      <c r="E271" s="29">
        <f t="shared" si="35"/>
        <v>13611.010342637574</v>
      </c>
      <c r="F271" s="1">
        <f t="shared" si="36"/>
        <v>13611</v>
      </c>
      <c r="G271" s="1">
        <f t="shared" si="45"/>
        <v>8.8639000023249537E-3</v>
      </c>
      <c r="K271" s="1">
        <f t="shared" si="44"/>
        <v>8.8639000023249537E-3</v>
      </c>
      <c r="O271" s="1">
        <f t="shared" ca="1" si="47"/>
        <v>7.40069254939291E-3</v>
      </c>
      <c r="P271" s="13">
        <f t="shared" si="37"/>
        <v>-4.6947774235407344E-3</v>
      </c>
      <c r="Q271" s="114">
        <f t="shared" si="38"/>
        <v>42257.913500000002</v>
      </c>
      <c r="R271" s="1">
        <f t="shared" si="46"/>
        <v>1.8383773353867981E-4</v>
      </c>
    </row>
    <row r="272" spans="1:18" x14ac:dyDescent="0.2">
      <c r="A272" s="47" t="s">
        <v>148</v>
      </c>
      <c r="B272" s="48" t="s">
        <v>57</v>
      </c>
      <c r="C272" s="49">
        <v>57293.553899999999</v>
      </c>
      <c r="D272" s="49">
        <v>2.0000000000000001E-4</v>
      </c>
      <c r="E272" s="29">
        <f t="shared" si="35"/>
        <v>13631.010223621219</v>
      </c>
      <c r="F272" s="1">
        <f t="shared" si="36"/>
        <v>13631</v>
      </c>
      <c r="G272" s="1">
        <f t="shared" si="45"/>
        <v>8.761899996898137E-3</v>
      </c>
      <c r="K272" s="1">
        <f t="shared" si="44"/>
        <v>8.761899996898137E-3</v>
      </c>
      <c r="O272" s="1">
        <f t="shared" ca="1" si="47"/>
        <v>7.3725935904527945E-3</v>
      </c>
      <c r="P272" s="13">
        <f t="shared" si="37"/>
        <v>-4.7901122411080285E-3</v>
      </c>
      <c r="Q272" s="114">
        <f t="shared" si="38"/>
        <v>42275.053899999999</v>
      </c>
      <c r="R272" s="1">
        <f t="shared" si="46"/>
        <v>1.8365703569906888E-4</v>
      </c>
    </row>
    <row r="273" spans="1:18" x14ac:dyDescent="0.2">
      <c r="A273" s="47" t="s">
        <v>148</v>
      </c>
      <c r="B273" s="48" t="s">
        <v>57</v>
      </c>
      <c r="C273" s="49">
        <v>57294.409099999997</v>
      </c>
      <c r="D273" s="49">
        <v>1E-4</v>
      </c>
      <c r="E273" s="29">
        <f t="shared" si="35"/>
        <v>13632.008094045315</v>
      </c>
      <c r="F273" s="1">
        <f t="shared" si="36"/>
        <v>13632</v>
      </c>
      <c r="G273" s="1">
        <f t="shared" si="45"/>
        <v>6.9367999967653304E-3</v>
      </c>
      <c r="K273" s="1">
        <f t="shared" si="44"/>
        <v>6.9367999967653304E-3</v>
      </c>
      <c r="O273" s="1">
        <f t="shared" ca="1" si="47"/>
        <v>7.3711886425057889E-3</v>
      </c>
      <c r="P273" s="13">
        <f t="shared" si="37"/>
        <v>-4.7948857942503031E-3</v>
      </c>
      <c r="Q273" s="114">
        <f t="shared" si="38"/>
        <v>42275.909099999997</v>
      </c>
      <c r="R273" s="1">
        <f t="shared" si="46"/>
        <v>1.3763245149911812E-4</v>
      </c>
    </row>
    <row r="274" spans="1:18" x14ac:dyDescent="0.2">
      <c r="A274" s="53" t="s">
        <v>161</v>
      </c>
      <c r="B274" s="54" t="s">
        <v>57</v>
      </c>
      <c r="C274" s="55">
        <v>57427.246330000002</v>
      </c>
      <c r="D274" s="55">
        <v>1.2999999999999999E-4</v>
      </c>
      <c r="E274" s="29">
        <f t="shared" si="35"/>
        <v>13787.006156529138</v>
      </c>
      <c r="F274" s="1">
        <f t="shared" si="36"/>
        <v>13787</v>
      </c>
      <c r="G274" s="1">
        <f t="shared" si="45"/>
        <v>5.2762999985134229E-3</v>
      </c>
      <c r="K274" s="1">
        <f t="shared" si="44"/>
        <v>5.2762999985134229E-3</v>
      </c>
      <c r="O274" s="1">
        <f t="shared" ca="1" si="47"/>
        <v>7.1534217107199136E-3</v>
      </c>
      <c r="P274" s="13">
        <f t="shared" si="37"/>
        <v>-5.5426303666122195E-3</v>
      </c>
      <c r="Q274" s="114">
        <f t="shared" si="38"/>
        <v>42408.746330000002</v>
      </c>
      <c r="R274" s="1">
        <f t="shared" si="46"/>
        <v>1.1704925424543766E-4</v>
      </c>
    </row>
    <row r="275" spans="1:18" x14ac:dyDescent="0.2">
      <c r="A275" s="67" t="s">
        <v>169</v>
      </c>
      <c r="B275" s="68" t="s">
        <v>127</v>
      </c>
      <c r="C275" s="69">
        <v>57644.508429999929</v>
      </c>
      <c r="D275" s="69">
        <v>5.0000000000000001E-4</v>
      </c>
      <c r="E275" s="29">
        <f t="shared" si="35"/>
        <v>14040.513434203885</v>
      </c>
      <c r="F275" s="1">
        <f t="shared" si="36"/>
        <v>14040.5</v>
      </c>
      <c r="G275" s="1">
        <f t="shared" si="45"/>
        <v>1.1513449928315822E-2</v>
      </c>
      <c r="K275" s="1">
        <f t="shared" si="44"/>
        <v>1.1513449928315822E-2</v>
      </c>
      <c r="O275" s="1">
        <f t="shared" ca="1" si="47"/>
        <v>6.7972674061539846E-3</v>
      </c>
      <c r="P275" s="13">
        <f t="shared" si="37"/>
        <v>-6.799147044156989E-3</v>
      </c>
      <c r="Q275" s="114">
        <f t="shared" si="38"/>
        <v>42626.008429999929</v>
      </c>
      <c r="R275" s="1">
        <f t="shared" si="46"/>
        <v>3.3535120787622037E-4</v>
      </c>
    </row>
    <row r="276" spans="1:18" x14ac:dyDescent="0.2">
      <c r="A276" s="53" t="s">
        <v>161</v>
      </c>
      <c r="B276" s="54" t="s">
        <v>57</v>
      </c>
      <c r="C276" s="55">
        <v>57672.358659999998</v>
      </c>
      <c r="D276" s="55">
        <v>1.1E-4</v>
      </c>
      <c r="E276" s="29">
        <f t="shared" si="35"/>
        <v>14073.009833667646</v>
      </c>
      <c r="F276" s="1">
        <f t="shared" si="36"/>
        <v>14073</v>
      </c>
      <c r="G276" s="1">
        <f t="shared" si="45"/>
        <v>8.4276999987196177E-3</v>
      </c>
      <c r="K276" s="1">
        <f t="shared" si="44"/>
        <v>8.4276999987196177E-3</v>
      </c>
      <c r="O276" s="1">
        <f t="shared" ca="1" si="47"/>
        <v>6.7516065978763008E-3</v>
      </c>
      <c r="P276" s="13">
        <f t="shared" si="37"/>
        <v>-6.963254163659921E-3</v>
      </c>
      <c r="Q276" s="114">
        <f t="shared" si="38"/>
        <v>42653.858659999998</v>
      </c>
      <c r="R276" s="1">
        <f t="shared" si="46"/>
        <v>2.3688147002846804E-4</v>
      </c>
    </row>
    <row r="277" spans="1:18" x14ac:dyDescent="0.2">
      <c r="A277" s="50" t="s">
        <v>162</v>
      </c>
      <c r="B277" s="51" t="s">
        <v>57</v>
      </c>
      <c r="C277" s="52">
        <v>57675.787799999998</v>
      </c>
      <c r="D277" s="52">
        <v>2.0000000000000001E-4</v>
      </c>
      <c r="E277" s="29">
        <f t="shared" ref="E277:E287" si="48">+(C277-C$7)/C$8</f>
        <v>14077.011046700962</v>
      </c>
      <c r="F277" s="1">
        <f t="shared" ref="F277:F288" si="49">ROUND(2*E277,0)/2</f>
        <v>14077</v>
      </c>
      <c r="G277" s="1">
        <f t="shared" si="45"/>
        <v>9.467299998505041E-3</v>
      </c>
      <c r="K277" s="1">
        <f t="shared" si="44"/>
        <v>9.467299998505041E-3</v>
      </c>
      <c r="O277" s="1">
        <f t="shared" ca="1" si="47"/>
        <v>6.7459868060882784E-3</v>
      </c>
      <c r="P277" s="13">
        <f t="shared" ref="P277:P287" si="50">+D$11+D$12*F277+D$13*F277^2</f>
        <v>-6.983499324437252E-3</v>
      </c>
      <c r="Q277" s="114">
        <f t="shared" ref="Q277:Q287" si="51">+C277-15018.5</f>
        <v>42657.287799999998</v>
      </c>
      <c r="R277" s="1">
        <f t="shared" si="46"/>
        <v>2.7062879836371858E-4</v>
      </c>
    </row>
    <row r="278" spans="1:18" x14ac:dyDescent="0.2">
      <c r="A278" s="56" t="s">
        <v>163</v>
      </c>
      <c r="B278" s="57" t="s">
        <v>57</v>
      </c>
      <c r="C278" s="58">
        <v>58057.163500000002</v>
      </c>
      <c r="D278" s="59" t="s">
        <v>164</v>
      </c>
      <c r="E278" s="29">
        <f t="shared" si="48"/>
        <v>14522.010498875705</v>
      </c>
      <c r="F278" s="1">
        <f t="shared" si="49"/>
        <v>14522</v>
      </c>
      <c r="G278" s="1">
        <f t="shared" si="45"/>
        <v>8.9978000032715499E-3</v>
      </c>
      <c r="K278" s="1">
        <f t="shared" si="44"/>
        <v>8.9978000032715499E-3</v>
      </c>
      <c r="O278" s="1">
        <f t="shared" ca="1" si="47"/>
        <v>6.1207849696707645E-3</v>
      </c>
      <c r="P278" s="13">
        <f t="shared" si="50"/>
        <v>-9.3005889081360163E-3</v>
      </c>
      <c r="Q278" s="114">
        <f t="shared" si="51"/>
        <v>43038.663500000002</v>
      </c>
      <c r="R278" s="1">
        <f t="shared" si="46"/>
        <v>3.3483103675312339E-4</v>
      </c>
    </row>
    <row r="279" spans="1:18" x14ac:dyDescent="0.2">
      <c r="A279" s="56" t="s">
        <v>163</v>
      </c>
      <c r="B279" s="57" t="s">
        <v>57</v>
      </c>
      <c r="C279" s="58">
        <v>58058.020600000003</v>
      </c>
      <c r="D279" s="59" t="s">
        <v>164</v>
      </c>
      <c r="E279" s="29">
        <f t="shared" si="48"/>
        <v>14523.010586271046</v>
      </c>
      <c r="F279" s="1">
        <f t="shared" si="49"/>
        <v>14523</v>
      </c>
      <c r="G279" s="1">
        <f t="shared" si="45"/>
        <v>9.0727000060724095E-3</v>
      </c>
      <c r="K279" s="1">
        <f t="shared" si="44"/>
        <v>9.0727000060724095E-3</v>
      </c>
      <c r="O279" s="1">
        <f t="shared" ca="1" si="47"/>
        <v>6.1193800217237589E-3</v>
      </c>
      <c r="P279" s="13">
        <f t="shared" si="50"/>
        <v>-9.3059405305305626E-3</v>
      </c>
      <c r="Q279" s="114">
        <f t="shared" si="51"/>
        <v>43039.520600000003</v>
      </c>
      <c r="R279" s="1">
        <f t="shared" si="46"/>
        <v>3.37774427973666E-4</v>
      </c>
    </row>
    <row r="280" spans="1:18" x14ac:dyDescent="0.2">
      <c r="A280" s="60" t="s">
        <v>165</v>
      </c>
      <c r="B280" s="61" t="s">
        <v>57</v>
      </c>
      <c r="C280" s="60">
        <v>58114.582300000002</v>
      </c>
      <c r="D280" s="60">
        <v>2.0000000000000001E-4</v>
      </c>
      <c r="E280" s="29">
        <f t="shared" si="48"/>
        <v>14589.008303257397</v>
      </c>
      <c r="F280" s="1">
        <f t="shared" si="49"/>
        <v>14589</v>
      </c>
      <c r="G280" s="1">
        <f t="shared" si="45"/>
        <v>7.1161000014399178E-3</v>
      </c>
      <c r="K280" s="1">
        <f t="shared" si="44"/>
        <v>7.1161000014399178E-3</v>
      </c>
      <c r="O280" s="1">
        <f t="shared" ca="1" si="47"/>
        <v>6.0266534572213856E-3</v>
      </c>
      <c r="P280" s="13">
        <f t="shared" si="50"/>
        <v>-9.660582076714809E-3</v>
      </c>
      <c r="Q280" s="114">
        <f t="shared" si="51"/>
        <v>43096.082300000002</v>
      </c>
      <c r="R280" s="1">
        <f t="shared" si="46"/>
        <v>2.8145706155147798E-4</v>
      </c>
    </row>
    <row r="281" spans="1:18" x14ac:dyDescent="0.2">
      <c r="A281" s="64" t="s">
        <v>167</v>
      </c>
      <c r="B281" s="65" t="s">
        <v>57</v>
      </c>
      <c r="C281" s="66">
        <v>58131.724300000002</v>
      </c>
      <c r="D281" s="66">
        <v>6.9999999999999999E-4</v>
      </c>
      <c r="E281" s="29">
        <f t="shared" si="48"/>
        <v>14609.010051164196</v>
      </c>
      <c r="F281" s="1">
        <f t="shared" si="49"/>
        <v>14609</v>
      </c>
      <c r="G281" s="1">
        <f t="shared" si="45"/>
        <v>8.6140999992494471E-3</v>
      </c>
      <c r="K281" s="1">
        <f t="shared" si="44"/>
        <v>8.6140999992494471E-3</v>
      </c>
      <c r="O281" s="1">
        <f t="shared" ca="1" si="47"/>
        <v>5.9985544982812736E-3</v>
      </c>
      <c r="P281" s="13">
        <f t="shared" si="50"/>
        <v>-9.7686071687761861E-3</v>
      </c>
      <c r="Q281" s="114">
        <f t="shared" si="51"/>
        <v>43113.224300000002</v>
      </c>
      <c r="R281" s="1">
        <f t="shared" si="46"/>
        <v>3.3792392282538101E-4</v>
      </c>
    </row>
    <row r="282" spans="1:18" x14ac:dyDescent="0.2">
      <c r="A282" s="62" t="s">
        <v>166</v>
      </c>
      <c r="B282" s="63" t="s">
        <v>57</v>
      </c>
      <c r="C282" s="62">
        <v>58467.6783</v>
      </c>
      <c r="D282" s="62">
        <v>2.0000000000000001E-4</v>
      </c>
      <c r="E282" s="29">
        <f t="shared" si="48"/>
        <v>15001.01023878997</v>
      </c>
      <c r="F282" s="1">
        <f t="shared" si="49"/>
        <v>15001</v>
      </c>
      <c r="G282" s="1">
        <f t="shared" si="45"/>
        <v>8.7748999940231442E-3</v>
      </c>
      <c r="K282" s="1">
        <f t="shared" si="44"/>
        <v>8.7748999940231442E-3</v>
      </c>
      <c r="O282" s="1">
        <f t="shared" ca="1" si="47"/>
        <v>5.44781490305506E-3</v>
      </c>
      <c r="P282" s="13">
        <f t="shared" si="50"/>
        <v>-1.1938289824199005E-2</v>
      </c>
      <c r="Q282" s="114">
        <f t="shared" si="51"/>
        <v>43449.1783</v>
      </c>
      <c r="R282" s="1">
        <f t="shared" si="46"/>
        <v>4.2903623244570173E-4</v>
      </c>
    </row>
    <row r="283" spans="1:18" x14ac:dyDescent="0.2">
      <c r="A283" s="62" t="s">
        <v>166</v>
      </c>
      <c r="B283" s="63" t="s">
        <v>57</v>
      </c>
      <c r="C283" s="62">
        <v>58468.534699999997</v>
      </c>
      <c r="D283" s="62">
        <v>1E-4</v>
      </c>
      <c r="E283" s="29">
        <f t="shared" si="48"/>
        <v>15002.009509406429</v>
      </c>
      <c r="F283" s="1">
        <f t="shared" si="49"/>
        <v>15002</v>
      </c>
      <c r="G283" s="1">
        <f t="shared" si="45"/>
        <v>8.1497999926796183E-3</v>
      </c>
      <c r="K283" s="1">
        <f t="shared" si="44"/>
        <v>8.1497999926796183E-3</v>
      </c>
      <c r="O283" s="1">
        <f t="shared" ca="1" si="47"/>
        <v>5.4464099551080544E-3</v>
      </c>
      <c r="P283" s="13">
        <f t="shared" si="50"/>
        <v>-1.1943952215585502E-2</v>
      </c>
      <c r="Q283" s="114">
        <f t="shared" si="51"/>
        <v>43450.034699999997</v>
      </c>
      <c r="R283" s="1">
        <f t="shared" si="46"/>
        <v>4.0375887780715936E-4</v>
      </c>
    </row>
    <row r="284" spans="1:18" ht="12" customHeight="1" x14ac:dyDescent="0.2">
      <c r="A284" s="67" t="s">
        <v>168</v>
      </c>
      <c r="B284" s="68" t="s">
        <v>57</v>
      </c>
      <c r="C284" s="69">
        <v>58754.775800000003</v>
      </c>
      <c r="D284" s="69">
        <v>1E-4</v>
      </c>
      <c r="E284" s="29">
        <f t="shared" si="48"/>
        <v>15336.003344592827</v>
      </c>
      <c r="F284" s="1">
        <f t="shared" si="49"/>
        <v>15336</v>
      </c>
      <c r="G284" s="1">
        <f t="shared" si="45"/>
        <v>2.8663999983109534E-3</v>
      </c>
      <c r="K284" s="1">
        <f t="shared" si="44"/>
        <v>2.8663999983109534E-3</v>
      </c>
      <c r="O284" s="1">
        <f t="shared" ca="1" si="47"/>
        <v>4.9771573408081658E-3</v>
      </c>
      <c r="P284" s="13">
        <f t="shared" si="50"/>
        <v>-1.3871487329604838E-2</v>
      </c>
      <c r="Q284" s="114">
        <f t="shared" si="51"/>
        <v>43736.275800000003</v>
      </c>
      <c r="R284" s="1">
        <f t="shared" si="46"/>
        <v>2.8015687220200403E-4</v>
      </c>
    </row>
    <row r="285" spans="1:18" ht="12" customHeight="1" x14ac:dyDescent="0.2">
      <c r="A285" s="64" t="s">
        <v>1008</v>
      </c>
      <c r="B285" s="65" t="s">
        <v>57</v>
      </c>
      <c r="C285" s="66">
        <v>59156.722000000002</v>
      </c>
      <c r="D285" s="66">
        <v>1E-4</v>
      </c>
      <c r="E285" s="29">
        <f t="shared" si="48"/>
        <v>15805.005010938419</v>
      </c>
      <c r="F285" s="1">
        <f t="shared" si="49"/>
        <v>15805</v>
      </c>
      <c r="G285" s="1">
        <f t="shared" si="45"/>
        <v>4.2945000022882596E-3</v>
      </c>
      <c r="K285" s="1">
        <f t="shared" si="44"/>
        <v>4.2945000022882596E-3</v>
      </c>
      <c r="O285" s="1">
        <f t="shared" ca="1" si="47"/>
        <v>4.3182367536625174E-3</v>
      </c>
      <c r="P285" s="13">
        <f t="shared" si="50"/>
        <v>-1.6700284848040384E-2</v>
      </c>
      <c r="Q285" s="114">
        <f t="shared" si="51"/>
        <v>44138.222000000002</v>
      </c>
      <c r="R285" s="1">
        <f t="shared" si="46"/>
        <v>4.407809909115891E-4</v>
      </c>
    </row>
    <row r="286" spans="1:18" ht="12" customHeight="1" x14ac:dyDescent="0.2">
      <c r="A286" s="115" t="s">
        <v>1009</v>
      </c>
      <c r="B286" s="116" t="s">
        <v>57</v>
      </c>
      <c r="C286" s="119">
        <v>59449.823700000001</v>
      </c>
      <c r="D286" s="115">
        <v>2.0000000000000001E-4</v>
      </c>
      <c r="E286" s="29">
        <f t="shared" si="48"/>
        <v>16147.003979230012</v>
      </c>
      <c r="F286" s="1">
        <f t="shared" si="49"/>
        <v>16147</v>
      </c>
      <c r="G286" s="1">
        <f t="shared" si="45"/>
        <v>3.4102999998140149E-3</v>
      </c>
      <c r="K286" s="1">
        <f t="shared" si="44"/>
        <v>3.4102999998140149E-3</v>
      </c>
      <c r="O286" s="1">
        <f t="shared" ca="1" si="47"/>
        <v>3.8377445557865875E-3</v>
      </c>
      <c r="P286" s="13">
        <f t="shared" si="50"/>
        <v>-1.8853049797985175E-2</v>
      </c>
      <c r="Q286" s="114">
        <f t="shared" si="51"/>
        <v>44431.323700000001</v>
      </c>
      <c r="R286" s="1">
        <f t="shared" si="46"/>
        <v>4.9565674421916516E-4</v>
      </c>
    </row>
    <row r="287" spans="1:18" ht="12" customHeight="1" x14ac:dyDescent="0.2">
      <c r="A287" s="115" t="s">
        <v>1009</v>
      </c>
      <c r="B287" s="116" t="s">
        <v>57</v>
      </c>
      <c r="C287" s="119">
        <v>59590.375699999997</v>
      </c>
      <c r="D287" s="115">
        <v>2.0000000000000001E-4</v>
      </c>
      <c r="E287" s="29">
        <f t="shared" si="48"/>
        <v>16311.003843411348</v>
      </c>
      <c r="F287" s="1">
        <f t="shared" si="49"/>
        <v>16311</v>
      </c>
      <c r="G287" s="1">
        <f t="shared" ref="G287" si="52">+C287-(C$7+F287*C$8)</f>
        <v>3.2938999938778579E-3</v>
      </c>
      <c r="K287" s="1">
        <f t="shared" si="44"/>
        <v>3.2938999938778579E-3</v>
      </c>
      <c r="O287" s="1">
        <f t="shared" ca="1" si="47"/>
        <v>3.6073330924776617E-3</v>
      </c>
      <c r="P287" s="13">
        <f t="shared" si="50"/>
        <v>-1.9912289304307676E-2</v>
      </c>
      <c r="Q287" s="114">
        <f t="shared" si="51"/>
        <v>44571.875699999997</v>
      </c>
      <c r="R287" s="1">
        <f t="shared" si="46"/>
        <v>5.3852722174322081E-4</v>
      </c>
    </row>
    <row r="288" spans="1:18" ht="12" customHeight="1" x14ac:dyDescent="0.2">
      <c r="A288" s="117" t="s">
        <v>1010</v>
      </c>
      <c r="B288" s="118" t="s">
        <v>57</v>
      </c>
      <c r="C288" s="119">
        <v>59874.9067</v>
      </c>
      <c r="D288" s="115">
        <v>1E-4</v>
      </c>
      <c r="E288" s="29">
        <f t="shared" ref="E288" si="53">+(C288-C$7)/C$8</f>
        <v>16643.002287797637</v>
      </c>
      <c r="F288" s="1">
        <f t="shared" si="49"/>
        <v>16643</v>
      </c>
      <c r="G288" s="1">
        <f t="shared" ref="G288" si="54">+C288-(C$7+F288*C$8)</f>
        <v>1.9606999994721264E-3</v>
      </c>
      <c r="K288" s="1">
        <f t="shared" ref="K288" si="55">G288</f>
        <v>1.9606999994721264E-3</v>
      </c>
      <c r="O288" s="1">
        <f t="shared" ref="O288" ca="1" si="56">+C$11+C$12*F288</f>
        <v>3.1408903740717878E-3</v>
      </c>
      <c r="P288" s="13">
        <f t="shared" ref="P288" si="57">+D$11+D$12*F288+D$13*F288^2</f>
        <v>-2.21100219565534E-2</v>
      </c>
      <c r="Q288" s="114">
        <f t="shared" ref="Q288" si="58">+C288-15018.5</f>
        <v>44856.4067</v>
      </c>
      <c r="R288" s="1">
        <f t="shared" ref="R288" si="59">+(P288-G288)^2</f>
        <v>5.7939965548428932E-4</v>
      </c>
    </row>
    <row r="289" spans="1:18" ht="12" customHeight="1" x14ac:dyDescent="0.2">
      <c r="A289" s="117" t="s">
        <v>1012</v>
      </c>
      <c r="B289" s="120" t="s">
        <v>57</v>
      </c>
      <c r="C289" s="121">
        <v>60266.566500000001</v>
      </c>
      <c r="D289" s="121">
        <v>1E-4</v>
      </c>
      <c r="E289" s="29">
        <f t="shared" ref="E289" si="60">+(C289-C$7)/C$8</f>
        <v>17100.00150520679</v>
      </c>
      <c r="F289" s="1">
        <f t="shared" ref="F289" si="61">ROUND(2*E289,0)/2</f>
        <v>17100</v>
      </c>
      <c r="G289" s="1">
        <f t="shared" ref="G289" si="62">+C289-(C$7+F289*C$8)</f>
        <v>1.2900000001536682E-3</v>
      </c>
      <c r="K289" s="1">
        <f t="shared" ref="K289" si="63">G289</f>
        <v>1.2900000001536682E-3</v>
      </c>
      <c r="O289" s="1">
        <f t="shared" ref="O289" ca="1" si="64">+C$11+C$12*F289</f>
        <v>2.4988291622902066E-3</v>
      </c>
      <c r="P289" s="13">
        <f t="shared" ref="P289" si="65">+D$11+D$12*F289+D$13*F289^2</f>
        <v>-2.5252181736333298E-2</v>
      </c>
      <c r="Q289" s="114">
        <f t="shared" ref="Q289" si="66">+C289-15018.5</f>
        <v>45248.066500000001</v>
      </c>
      <c r="R289" s="1">
        <f t="shared" ref="R289" si="67">+(P289-G289)^2</f>
        <v>7.0448741133270233E-4</v>
      </c>
    </row>
    <row r="290" spans="1:18" x14ac:dyDescent="0.2">
      <c r="C290" s="32"/>
      <c r="D290" s="32"/>
    </row>
    <row r="291" spans="1:18" x14ac:dyDescent="0.2">
      <c r="C291" s="32"/>
      <c r="D291" s="32"/>
    </row>
    <row r="292" spans="1:18" x14ac:dyDescent="0.2">
      <c r="C292" s="32"/>
      <c r="D292" s="32"/>
    </row>
    <row r="293" spans="1:18" x14ac:dyDescent="0.2">
      <c r="C293" s="32"/>
      <c r="D293" s="32"/>
    </row>
  </sheetData>
  <sheetProtection selectLockedCells="1" selectUnlockedCells="1"/>
  <sortState xmlns:xlrd2="http://schemas.microsoft.com/office/spreadsheetml/2017/richdata2" ref="A21:U287">
    <sortCondition ref="C21:C28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5"/>
  <sheetViews>
    <sheetView topLeftCell="A193" workbookViewId="0">
      <selection activeCell="A200" sqref="A200"/>
    </sheetView>
  </sheetViews>
  <sheetFormatPr defaultRowHeight="12.75" x14ac:dyDescent="0.2"/>
  <cols>
    <col min="1" max="1" width="19.7109375" style="32" customWidth="1"/>
    <col min="2" max="2" width="4.42578125" customWidth="1"/>
    <col min="3" max="3" width="12.7109375" style="32" customWidth="1"/>
    <col min="4" max="4" width="5.42578125" customWidth="1"/>
    <col min="5" max="5" width="14.85546875" customWidth="1"/>
    <col min="7" max="7" width="12" customWidth="1"/>
    <col min="8" max="8" width="14.140625" style="3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0" t="s">
        <v>170</v>
      </c>
      <c r="I1" s="71" t="s">
        <v>171</v>
      </c>
      <c r="J1" s="72" t="s">
        <v>37</v>
      </c>
    </row>
    <row r="2" spans="1:16" x14ac:dyDescent="0.2">
      <c r="I2" s="73" t="s">
        <v>172</v>
      </c>
      <c r="J2" s="74" t="s">
        <v>36</v>
      </c>
    </row>
    <row r="3" spans="1:16" x14ac:dyDescent="0.2">
      <c r="A3" s="75" t="s">
        <v>173</v>
      </c>
      <c r="I3" s="73" t="s">
        <v>174</v>
      </c>
      <c r="J3" s="74" t="s">
        <v>34</v>
      </c>
    </row>
    <row r="4" spans="1:16" x14ac:dyDescent="0.2">
      <c r="I4" s="73" t="s">
        <v>175</v>
      </c>
      <c r="J4" s="74" t="s">
        <v>34</v>
      </c>
    </row>
    <row r="5" spans="1:16" x14ac:dyDescent="0.2">
      <c r="I5" s="76" t="s">
        <v>176</v>
      </c>
      <c r="J5" s="77" t="s">
        <v>35</v>
      </c>
    </row>
    <row r="11" spans="1:16" ht="12.75" customHeight="1" x14ac:dyDescent="0.2">
      <c r="A11" s="32" t="str">
        <f t="shared" ref="A11:A74" si="0">P11</f>
        <v> KVB 17.3 </v>
      </c>
      <c r="B11" s="15" t="str">
        <f t="shared" ref="B11:B74" si="1">IF(H11=INT(H11),"I","II")</f>
        <v>II</v>
      </c>
      <c r="C11" s="32">
        <f t="shared" ref="C11:C74" si="2">1*G11</f>
        <v>26672.462</v>
      </c>
      <c r="D11" t="str">
        <f t="shared" ref="D11:D74" si="3">VLOOKUP(F11,I$1:J$5,2,FALSE)</f>
        <v>vis</v>
      </c>
      <c r="E11">
        <f>VLOOKUP(C11,Active!C$21:E$969,3,FALSE)</f>
        <v>-22098.505633032222</v>
      </c>
      <c r="F11" s="15" t="s">
        <v>176</v>
      </c>
      <c r="G11" t="str">
        <f t="shared" ref="G11:G74" si="4">MID(I11,3,LEN(I11)-3)</f>
        <v>26672.462</v>
      </c>
      <c r="H11" s="32">
        <f t="shared" ref="H11:H74" si="5">1*K11</f>
        <v>-22098.5</v>
      </c>
      <c r="I11" s="78" t="s">
        <v>177</v>
      </c>
      <c r="J11" s="79" t="s">
        <v>178</v>
      </c>
      <c r="K11" s="78">
        <v>-22098.5</v>
      </c>
      <c r="L11" s="78" t="s">
        <v>179</v>
      </c>
      <c r="M11" s="79" t="s">
        <v>180</v>
      </c>
      <c r="N11" s="79"/>
      <c r="O11" s="80" t="s">
        <v>181</v>
      </c>
      <c r="P11" s="80" t="s">
        <v>182</v>
      </c>
    </row>
    <row r="12" spans="1:16" ht="12.75" customHeight="1" x14ac:dyDescent="0.2">
      <c r="A12" s="32" t="str">
        <f t="shared" si="0"/>
        <v> KVB 17.3 </v>
      </c>
      <c r="B12" s="15" t="str">
        <f t="shared" si="1"/>
        <v>I</v>
      </c>
      <c r="C12" s="32">
        <f t="shared" si="2"/>
        <v>26987.413</v>
      </c>
      <c r="D12" t="str">
        <f t="shared" si="3"/>
        <v>vis</v>
      </c>
      <c r="E12">
        <f>VLOOKUP(C12,Active!C$21:E$969,3,FALSE)</f>
        <v>-21731.012312241499</v>
      </c>
      <c r="F12" s="15" t="s">
        <v>176</v>
      </c>
      <c r="G12" t="str">
        <f t="shared" si="4"/>
        <v>26987.413</v>
      </c>
      <c r="H12" s="32">
        <f t="shared" si="5"/>
        <v>-21731</v>
      </c>
      <c r="I12" s="78" t="s">
        <v>183</v>
      </c>
      <c r="J12" s="79" t="s">
        <v>184</v>
      </c>
      <c r="K12" s="78">
        <v>-21731</v>
      </c>
      <c r="L12" s="78" t="s">
        <v>185</v>
      </c>
      <c r="M12" s="79" t="s">
        <v>180</v>
      </c>
      <c r="N12" s="79"/>
      <c r="O12" s="80" t="s">
        <v>181</v>
      </c>
      <c r="P12" s="80" t="s">
        <v>182</v>
      </c>
    </row>
    <row r="13" spans="1:16" ht="12.75" customHeight="1" x14ac:dyDescent="0.2">
      <c r="A13" s="32" t="str">
        <f t="shared" si="0"/>
        <v> KVB 11.5 </v>
      </c>
      <c r="B13" s="15" t="str">
        <f t="shared" si="1"/>
        <v>I</v>
      </c>
      <c r="C13" s="32">
        <f t="shared" si="2"/>
        <v>28078.433000000001</v>
      </c>
      <c r="D13" t="str">
        <f t="shared" si="3"/>
        <v>vis</v>
      </c>
      <c r="E13">
        <f>VLOOKUP(C13,Active!C$21:E$969,3,FALSE)</f>
        <v>-20457.98075225568</v>
      </c>
      <c r="F13" s="15" t="s">
        <v>176</v>
      </c>
      <c r="G13" t="str">
        <f t="shared" si="4"/>
        <v>28078.433</v>
      </c>
      <c r="H13" s="32">
        <f t="shared" si="5"/>
        <v>-20458</v>
      </c>
      <c r="I13" s="78" t="s">
        <v>186</v>
      </c>
      <c r="J13" s="79" t="s">
        <v>187</v>
      </c>
      <c r="K13" s="78">
        <v>-20458</v>
      </c>
      <c r="L13" s="78" t="s">
        <v>188</v>
      </c>
      <c r="M13" s="79" t="s">
        <v>180</v>
      </c>
      <c r="N13" s="79"/>
      <c r="O13" s="80" t="s">
        <v>189</v>
      </c>
      <c r="P13" s="80" t="s">
        <v>190</v>
      </c>
    </row>
    <row r="14" spans="1:16" ht="12.75" customHeight="1" x14ac:dyDescent="0.2">
      <c r="A14" s="32" t="str">
        <f t="shared" si="0"/>
        <v> KVB 17.3 </v>
      </c>
      <c r="B14" s="15" t="str">
        <f t="shared" si="1"/>
        <v>I</v>
      </c>
      <c r="C14" s="32">
        <f t="shared" si="2"/>
        <v>28211.26</v>
      </c>
      <c r="D14" t="str">
        <f t="shared" si="3"/>
        <v>vis</v>
      </c>
      <c r="E14">
        <f>VLOOKUP(C14,Active!C$21:E$969,3,FALSE)</f>
        <v>-20302.994626411764</v>
      </c>
      <c r="F14" s="15" t="s">
        <v>176</v>
      </c>
      <c r="G14" t="str">
        <f t="shared" si="4"/>
        <v>28211.260</v>
      </c>
      <c r="H14" s="32">
        <f t="shared" si="5"/>
        <v>-20303</v>
      </c>
      <c r="I14" s="78" t="s">
        <v>191</v>
      </c>
      <c r="J14" s="79" t="s">
        <v>192</v>
      </c>
      <c r="K14" s="78">
        <v>-20303</v>
      </c>
      <c r="L14" s="78" t="s">
        <v>193</v>
      </c>
      <c r="M14" s="79" t="s">
        <v>180</v>
      </c>
      <c r="N14" s="79"/>
      <c r="O14" s="80" t="s">
        <v>181</v>
      </c>
      <c r="P14" s="80" t="s">
        <v>182</v>
      </c>
    </row>
    <row r="15" spans="1:16" ht="12.75" customHeight="1" x14ac:dyDescent="0.2">
      <c r="A15" s="32" t="str">
        <f t="shared" si="0"/>
        <v> KVB 17.3 </v>
      </c>
      <c r="B15" s="15" t="str">
        <f t="shared" si="1"/>
        <v>I</v>
      </c>
      <c r="C15" s="32">
        <f t="shared" si="2"/>
        <v>29163.428</v>
      </c>
      <c r="D15" t="str">
        <f t="shared" si="3"/>
        <v>vis</v>
      </c>
      <c r="E15">
        <f>VLOOKUP(C15,Active!C$21:E$969,3,FALSE)</f>
        <v>-19191.97932475957</v>
      </c>
      <c r="F15" s="15" t="s">
        <v>176</v>
      </c>
      <c r="G15" t="str">
        <f t="shared" si="4"/>
        <v>29163.428</v>
      </c>
      <c r="H15" s="32">
        <f t="shared" si="5"/>
        <v>-19192</v>
      </c>
      <c r="I15" s="78" t="s">
        <v>194</v>
      </c>
      <c r="J15" s="79" t="s">
        <v>195</v>
      </c>
      <c r="K15" s="78">
        <v>-19192</v>
      </c>
      <c r="L15" s="78" t="s">
        <v>196</v>
      </c>
      <c r="M15" s="79" t="s">
        <v>180</v>
      </c>
      <c r="N15" s="79"/>
      <c r="O15" s="80" t="s">
        <v>181</v>
      </c>
      <c r="P15" s="80" t="s">
        <v>182</v>
      </c>
    </row>
    <row r="16" spans="1:16" ht="12.75" customHeight="1" x14ac:dyDescent="0.2">
      <c r="A16" s="32" t="str">
        <f t="shared" si="0"/>
        <v> KVB 17.3 </v>
      </c>
      <c r="B16" s="15" t="str">
        <f t="shared" si="1"/>
        <v>I</v>
      </c>
      <c r="C16" s="32">
        <f t="shared" si="2"/>
        <v>29193.364000000001</v>
      </c>
      <c r="D16" t="str">
        <f t="shared" si="3"/>
        <v>vis</v>
      </c>
      <c r="E16">
        <f>VLOOKUP(C16,Active!C$21:E$969,3,FALSE)</f>
        <v>-19157.049192608243</v>
      </c>
      <c r="F16" s="15" t="s">
        <v>176</v>
      </c>
      <c r="G16" t="str">
        <f t="shared" si="4"/>
        <v>29193.364</v>
      </c>
      <c r="H16" s="32">
        <f t="shared" si="5"/>
        <v>-19157</v>
      </c>
      <c r="I16" s="78" t="s">
        <v>197</v>
      </c>
      <c r="J16" s="79" t="s">
        <v>198</v>
      </c>
      <c r="K16" s="78">
        <v>-19157</v>
      </c>
      <c r="L16" s="78" t="s">
        <v>199</v>
      </c>
      <c r="M16" s="79" t="s">
        <v>180</v>
      </c>
      <c r="N16" s="79"/>
      <c r="O16" s="80" t="s">
        <v>181</v>
      </c>
      <c r="P16" s="80" t="s">
        <v>182</v>
      </c>
    </row>
    <row r="17" spans="1:16" ht="12.75" customHeight="1" x14ac:dyDescent="0.2">
      <c r="A17" s="32" t="str">
        <f t="shared" si="0"/>
        <v> AC 170.12 </v>
      </c>
      <c r="B17" s="15" t="str">
        <f t="shared" si="1"/>
        <v>I</v>
      </c>
      <c r="C17" s="32">
        <f t="shared" si="2"/>
        <v>33898.493000000002</v>
      </c>
      <c r="D17" t="str">
        <f t="shared" si="3"/>
        <v>vis</v>
      </c>
      <c r="E17">
        <f>VLOOKUP(C17,Active!C$21:E$969,3,FALSE)</f>
        <v>-13666.9777816309</v>
      </c>
      <c r="F17" s="15" t="s">
        <v>176</v>
      </c>
      <c r="G17" t="str">
        <f t="shared" si="4"/>
        <v>33898.493</v>
      </c>
      <c r="H17" s="32">
        <f t="shared" si="5"/>
        <v>-13667</v>
      </c>
      <c r="I17" s="78" t="s">
        <v>200</v>
      </c>
      <c r="J17" s="79" t="s">
        <v>201</v>
      </c>
      <c r="K17" s="78">
        <v>-13667</v>
      </c>
      <c r="L17" s="78" t="s">
        <v>202</v>
      </c>
      <c r="M17" s="79" t="s">
        <v>180</v>
      </c>
      <c r="N17" s="79"/>
      <c r="O17" s="80" t="s">
        <v>203</v>
      </c>
      <c r="P17" s="80" t="s">
        <v>204</v>
      </c>
    </row>
    <row r="18" spans="1:16" ht="12.75" customHeight="1" x14ac:dyDescent="0.2">
      <c r="A18" s="32" t="str">
        <f t="shared" si="0"/>
        <v> AC 170.12 </v>
      </c>
      <c r="B18" s="15" t="str">
        <f t="shared" si="1"/>
        <v>I</v>
      </c>
      <c r="C18" s="32">
        <f t="shared" si="2"/>
        <v>33922.410000000003</v>
      </c>
      <c r="D18" t="str">
        <f t="shared" si="3"/>
        <v>vis</v>
      </c>
      <c r="E18">
        <f>VLOOKUP(C18,Active!C$21:E$969,3,FALSE)</f>
        <v>-13639.070781007462</v>
      </c>
      <c r="F18" s="15" t="s">
        <v>176</v>
      </c>
      <c r="G18" t="str">
        <f t="shared" si="4"/>
        <v>33922.410</v>
      </c>
      <c r="H18" s="32">
        <f t="shared" si="5"/>
        <v>-13639</v>
      </c>
      <c r="I18" s="78" t="s">
        <v>205</v>
      </c>
      <c r="J18" s="79" t="s">
        <v>206</v>
      </c>
      <c r="K18" s="78">
        <v>-13639</v>
      </c>
      <c r="L18" s="78" t="s">
        <v>207</v>
      </c>
      <c r="M18" s="79" t="s">
        <v>180</v>
      </c>
      <c r="N18" s="79"/>
      <c r="O18" s="80" t="s">
        <v>203</v>
      </c>
      <c r="P18" s="80" t="s">
        <v>204</v>
      </c>
    </row>
    <row r="19" spans="1:16" ht="12.75" customHeight="1" x14ac:dyDescent="0.2">
      <c r="A19" s="32" t="str">
        <f t="shared" si="0"/>
        <v> AC 170.12 </v>
      </c>
      <c r="B19" s="15" t="str">
        <f t="shared" si="1"/>
        <v>I</v>
      </c>
      <c r="C19" s="32">
        <f t="shared" si="2"/>
        <v>33946.46</v>
      </c>
      <c r="D19" t="str">
        <f t="shared" si="3"/>
        <v>vis</v>
      </c>
      <c r="E19">
        <f>VLOOKUP(C19,Active!C$21:E$969,3,FALSE)</f>
        <v>-13611.008592397122</v>
      </c>
      <c r="F19" s="15" t="s">
        <v>176</v>
      </c>
      <c r="G19" t="str">
        <f t="shared" si="4"/>
        <v>33946.460</v>
      </c>
      <c r="H19" s="32">
        <f t="shared" si="5"/>
        <v>-13611</v>
      </c>
      <c r="I19" s="78" t="s">
        <v>208</v>
      </c>
      <c r="J19" s="79" t="s">
        <v>209</v>
      </c>
      <c r="K19" s="78">
        <v>-13611</v>
      </c>
      <c r="L19" s="78" t="s">
        <v>210</v>
      </c>
      <c r="M19" s="79" t="s">
        <v>180</v>
      </c>
      <c r="N19" s="79"/>
      <c r="O19" s="80" t="s">
        <v>203</v>
      </c>
      <c r="P19" s="80" t="s">
        <v>204</v>
      </c>
    </row>
    <row r="20" spans="1:16" ht="12.75" customHeight="1" x14ac:dyDescent="0.2">
      <c r="A20" s="32" t="str">
        <f t="shared" si="0"/>
        <v> AC 170.12 </v>
      </c>
      <c r="B20" s="15" t="str">
        <f t="shared" si="1"/>
        <v>I</v>
      </c>
      <c r="C20" s="32">
        <f t="shared" si="2"/>
        <v>34683.47</v>
      </c>
      <c r="D20" t="str">
        <f t="shared" si="3"/>
        <v>vis</v>
      </c>
      <c r="E20">
        <f>VLOOKUP(C20,Active!C$21:E$969,3,FALSE)</f>
        <v>-12751.045447793769</v>
      </c>
      <c r="F20" s="15" t="s">
        <v>176</v>
      </c>
      <c r="G20" t="str">
        <f t="shared" si="4"/>
        <v>34683.470</v>
      </c>
      <c r="H20" s="32">
        <f t="shared" si="5"/>
        <v>-12751</v>
      </c>
      <c r="I20" s="78" t="s">
        <v>211</v>
      </c>
      <c r="J20" s="79" t="s">
        <v>212</v>
      </c>
      <c r="K20" s="78">
        <v>-12751</v>
      </c>
      <c r="L20" s="78" t="s">
        <v>213</v>
      </c>
      <c r="M20" s="79" t="s">
        <v>180</v>
      </c>
      <c r="N20" s="79"/>
      <c r="O20" s="80" t="s">
        <v>203</v>
      </c>
      <c r="P20" s="80" t="s">
        <v>204</v>
      </c>
    </row>
    <row r="21" spans="1:16" ht="12.75" customHeight="1" x14ac:dyDescent="0.2">
      <c r="A21" s="32" t="str">
        <f t="shared" si="0"/>
        <v> AC 170.12 </v>
      </c>
      <c r="B21" s="15" t="str">
        <f t="shared" si="1"/>
        <v>I</v>
      </c>
      <c r="C21" s="32">
        <f t="shared" si="2"/>
        <v>35372.555999999997</v>
      </c>
      <c r="D21" t="str">
        <f t="shared" si="3"/>
        <v>vis</v>
      </c>
      <c r="E21">
        <f>VLOOKUP(C21,Active!C$21:E$969,3,FALSE)</f>
        <v>-11947.00131886453</v>
      </c>
      <c r="F21" s="15" t="s">
        <v>176</v>
      </c>
      <c r="G21" t="str">
        <f t="shared" si="4"/>
        <v>35372.556</v>
      </c>
      <c r="H21" s="32">
        <f t="shared" si="5"/>
        <v>-11947</v>
      </c>
      <c r="I21" s="78" t="s">
        <v>214</v>
      </c>
      <c r="J21" s="79" t="s">
        <v>215</v>
      </c>
      <c r="K21" s="78">
        <v>-11947</v>
      </c>
      <c r="L21" s="78" t="s">
        <v>216</v>
      </c>
      <c r="M21" s="79" t="s">
        <v>180</v>
      </c>
      <c r="N21" s="79"/>
      <c r="O21" s="80" t="s">
        <v>203</v>
      </c>
      <c r="P21" s="80" t="s">
        <v>204</v>
      </c>
    </row>
    <row r="22" spans="1:16" ht="12.75" customHeight="1" x14ac:dyDescent="0.2">
      <c r="A22" s="32" t="str">
        <f t="shared" si="0"/>
        <v> AC 174.18 </v>
      </c>
      <c r="B22" s="15" t="str">
        <f t="shared" si="1"/>
        <v>I</v>
      </c>
      <c r="C22" s="32">
        <f t="shared" si="2"/>
        <v>35702.516000000003</v>
      </c>
      <c r="D22" t="str">
        <f t="shared" si="3"/>
        <v>vis</v>
      </c>
      <c r="E22">
        <f>VLOOKUP(C22,Active!C$21:E$969,3,FALSE)</f>
        <v>-11561.9950920924</v>
      </c>
      <c r="F22" s="15" t="s">
        <v>176</v>
      </c>
      <c r="G22" t="str">
        <f t="shared" si="4"/>
        <v>35702.516</v>
      </c>
      <c r="H22" s="32">
        <f t="shared" si="5"/>
        <v>-11562</v>
      </c>
      <c r="I22" s="78" t="s">
        <v>217</v>
      </c>
      <c r="J22" s="79" t="s">
        <v>218</v>
      </c>
      <c r="K22" s="78">
        <v>-11562</v>
      </c>
      <c r="L22" s="78" t="s">
        <v>219</v>
      </c>
      <c r="M22" s="79" t="s">
        <v>220</v>
      </c>
      <c r="N22" s="79"/>
      <c r="O22" s="80" t="s">
        <v>203</v>
      </c>
      <c r="P22" s="80" t="s">
        <v>221</v>
      </c>
    </row>
    <row r="23" spans="1:16" ht="12.75" customHeight="1" x14ac:dyDescent="0.2">
      <c r="A23" s="32" t="str">
        <f t="shared" si="0"/>
        <v> AC 174.18 </v>
      </c>
      <c r="B23" s="15" t="str">
        <f t="shared" si="1"/>
        <v>I</v>
      </c>
      <c r="C23" s="32">
        <f t="shared" si="2"/>
        <v>35703.353000000003</v>
      </c>
      <c r="D23" t="str">
        <f t="shared" si="3"/>
        <v>vis</v>
      </c>
      <c r="E23">
        <f>VLOOKUP(C23,Active!C$21:E$969,3,FALSE)</f>
        <v>-11561.018457919143</v>
      </c>
      <c r="F23" s="15" t="s">
        <v>176</v>
      </c>
      <c r="G23" t="str">
        <f t="shared" si="4"/>
        <v>35703.353</v>
      </c>
      <c r="H23" s="32">
        <f t="shared" si="5"/>
        <v>-11561</v>
      </c>
      <c r="I23" s="78" t="s">
        <v>222</v>
      </c>
      <c r="J23" s="79" t="s">
        <v>223</v>
      </c>
      <c r="K23" s="78">
        <v>-11561</v>
      </c>
      <c r="L23" s="78" t="s">
        <v>224</v>
      </c>
      <c r="M23" s="79" t="s">
        <v>220</v>
      </c>
      <c r="N23" s="79"/>
      <c r="O23" s="80" t="s">
        <v>203</v>
      </c>
      <c r="P23" s="80" t="s">
        <v>221</v>
      </c>
    </row>
    <row r="24" spans="1:16" ht="12.75" customHeight="1" x14ac:dyDescent="0.2">
      <c r="A24" s="32" t="str">
        <f t="shared" si="0"/>
        <v> ORI 121 </v>
      </c>
      <c r="B24" s="15" t="str">
        <f t="shared" si="1"/>
        <v>I</v>
      </c>
      <c r="C24" s="32">
        <f t="shared" si="2"/>
        <v>40839.457999999999</v>
      </c>
      <c r="D24" t="str">
        <f t="shared" si="3"/>
        <v>vis</v>
      </c>
      <c r="E24">
        <f>VLOOKUP(C24,Active!C$21:E$969,3,FALSE)</f>
        <v>-5568.0726270444156</v>
      </c>
      <c r="F24" s="15" t="s">
        <v>176</v>
      </c>
      <c r="G24" t="str">
        <f t="shared" si="4"/>
        <v>40839.458</v>
      </c>
      <c r="H24" s="32">
        <f t="shared" si="5"/>
        <v>-5568</v>
      </c>
      <c r="I24" s="78" t="s">
        <v>225</v>
      </c>
      <c r="J24" s="79" t="s">
        <v>226</v>
      </c>
      <c r="K24" s="78">
        <v>-5568</v>
      </c>
      <c r="L24" s="78" t="s">
        <v>227</v>
      </c>
      <c r="M24" s="79" t="s">
        <v>220</v>
      </c>
      <c r="N24" s="79"/>
      <c r="O24" s="80" t="s">
        <v>228</v>
      </c>
      <c r="P24" s="80" t="s">
        <v>229</v>
      </c>
    </row>
    <row r="25" spans="1:16" ht="12.75" customHeight="1" x14ac:dyDescent="0.2">
      <c r="A25" s="32" t="str">
        <f t="shared" si="0"/>
        <v> BBS 1 </v>
      </c>
      <c r="B25" s="15" t="str">
        <f t="shared" si="1"/>
        <v>I</v>
      </c>
      <c r="C25" s="32">
        <f t="shared" si="2"/>
        <v>41308.300000000003</v>
      </c>
      <c r="D25" t="str">
        <f t="shared" si="3"/>
        <v>vis</v>
      </c>
      <c r="E25">
        <f>VLOOKUP(C25,Active!C$21:E$969,3,FALSE)</f>
        <v>-5021.0151371295879</v>
      </c>
      <c r="F25" s="15" t="s">
        <v>176</v>
      </c>
      <c r="G25" t="str">
        <f t="shared" si="4"/>
        <v>41308.300</v>
      </c>
      <c r="H25" s="32">
        <f t="shared" si="5"/>
        <v>-5021</v>
      </c>
      <c r="I25" s="78" t="s">
        <v>230</v>
      </c>
      <c r="J25" s="79" t="s">
        <v>231</v>
      </c>
      <c r="K25" s="78">
        <v>-5021</v>
      </c>
      <c r="L25" s="78" t="s">
        <v>232</v>
      </c>
      <c r="M25" s="79" t="s">
        <v>220</v>
      </c>
      <c r="N25" s="79"/>
      <c r="O25" s="80" t="s">
        <v>228</v>
      </c>
      <c r="P25" s="80" t="s">
        <v>233</v>
      </c>
    </row>
    <row r="26" spans="1:16" ht="12.75" customHeight="1" x14ac:dyDescent="0.2">
      <c r="A26" s="32" t="str">
        <f t="shared" si="0"/>
        <v> BBS 17 </v>
      </c>
      <c r="B26" s="15" t="str">
        <f t="shared" si="1"/>
        <v>I</v>
      </c>
      <c r="C26" s="32">
        <f t="shared" si="2"/>
        <v>42289.591999999997</v>
      </c>
      <c r="D26" t="str">
        <f t="shared" si="3"/>
        <v>vis</v>
      </c>
      <c r="E26">
        <f>VLOOKUP(C26,Active!C$21:E$969,3,FALSE)</f>
        <v>-3876.0171668251078</v>
      </c>
      <c r="F26" s="15" t="s">
        <v>176</v>
      </c>
      <c r="G26" t="str">
        <f t="shared" si="4"/>
        <v>42289.592</v>
      </c>
      <c r="H26" s="32">
        <f t="shared" si="5"/>
        <v>-3876</v>
      </c>
      <c r="I26" s="78" t="s">
        <v>234</v>
      </c>
      <c r="J26" s="79" t="s">
        <v>235</v>
      </c>
      <c r="K26" s="78">
        <v>-3876</v>
      </c>
      <c r="L26" s="78" t="s">
        <v>236</v>
      </c>
      <c r="M26" s="79" t="s">
        <v>220</v>
      </c>
      <c r="N26" s="79"/>
      <c r="O26" s="80" t="s">
        <v>228</v>
      </c>
      <c r="P26" s="80" t="s">
        <v>237</v>
      </c>
    </row>
    <row r="27" spans="1:16" ht="12.75" customHeight="1" x14ac:dyDescent="0.2">
      <c r="A27" s="32" t="str">
        <f t="shared" si="0"/>
        <v> BBS 19 </v>
      </c>
      <c r="B27" s="15" t="str">
        <f t="shared" si="1"/>
        <v>I</v>
      </c>
      <c r="C27" s="32">
        <f t="shared" si="2"/>
        <v>42405.294000000002</v>
      </c>
      <c r="D27" t="str">
        <f t="shared" si="3"/>
        <v>vis</v>
      </c>
      <c r="E27">
        <f>VLOOKUP(C27,Active!C$21:E$969,3,FALSE)</f>
        <v>-3741.0129528295029</v>
      </c>
      <c r="F27" s="15" t="s">
        <v>176</v>
      </c>
      <c r="G27" t="str">
        <f t="shared" si="4"/>
        <v>42405.294</v>
      </c>
      <c r="H27" s="32">
        <f t="shared" si="5"/>
        <v>-3741</v>
      </c>
      <c r="I27" s="78" t="s">
        <v>238</v>
      </c>
      <c r="J27" s="79" t="s">
        <v>239</v>
      </c>
      <c r="K27" s="78">
        <v>-3741</v>
      </c>
      <c r="L27" s="78" t="s">
        <v>185</v>
      </c>
      <c r="M27" s="79" t="s">
        <v>220</v>
      </c>
      <c r="N27" s="79"/>
      <c r="O27" s="80" t="s">
        <v>228</v>
      </c>
      <c r="P27" s="80" t="s">
        <v>240</v>
      </c>
    </row>
    <row r="28" spans="1:16" ht="12.75" customHeight="1" x14ac:dyDescent="0.2">
      <c r="A28" s="32" t="str">
        <f t="shared" si="0"/>
        <v> BBS 20 </v>
      </c>
      <c r="B28" s="15" t="str">
        <f t="shared" si="1"/>
        <v>I</v>
      </c>
      <c r="C28" s="32">
        <f t="shared" si="2"/>
        <v>42416.42</v>
      </c>
      <c r="D28" t="str">
        <f t="shared" si="3"/>
        <v>vis</v>
      </c>
      <c r="E28">
        <f>VLOOKUP(C28,Active!C$21:E$969,3,FALSE)</f>
        <v>-3728.0308359696855</v>
      </c>
      <c r="F28" s="15" t="s">
        <v>176</v>
      </c>
      <c r="G28" t="str">
        <f t="shared" si="4"/>
        <v>42416.420</v>
      </c>
      <c r="H28" s="32">
        <f t="shared" si="5"/>
        <v>-3728</v>
      </c>
      <c r="I28" s="78" t="s">
        <v>241</v>
      </c>
      <c r="J28" s="79" t="s">
        <v>242</v>
      </c>
      <c r="K28" s="78">
        <v>-3728</v>
      </c>
      <c r="L28" s="78" t="s">
        <v>243</v>
      </c>
      <c r="M28" s="79" t="s">
        <v>220</v>
      </c>
      <c r="N28" s="79"/>
      <c r="O28" s="80" t="s">
        <v>244</v>
      </c>
      <c r="P28" s="80" t="s">
        <v>245</v>
      </c>
    </row>
    <row r="29" spans="1:16" ht="12.75" customHeight="1" x14ac:dyDescent="0.2">
      <c r="A29" s="32" t="str">
        <f t="shared" si="0"/>
        <v> BBS 20 </v>
      </c>
      <c r="B29" s="15" t="str">
        <f t="shared" si="1"/>
        <v>I</v>
      </c>
      <c r="C29" s="32">
        <f t="shared" si="2"/>
        <v>42416.427000000003</v>
      </c>
      <c r="D29" t="str">
        <f t="shared" si="3"/>
        <v>vis</v>
      </c>
      <c r="E29">
        <f>VLOOKUP(C29,Active!C$21:E$969,3,FALSE)</f>
        <v>-3728.0226681808949</v>
      </c>
      <c r="F29" s="15" t="s">
        <v>176</v>
      </c>
      <c r="G29" t="str">
        <f t="shared" si="4"/>
        <v>42416.427</v>
      </c>
      <c r="H29" s="32">
        <f t="shared" si="5"/>
        <v>-3728</v>
      </c>
      <c r="I29" s="78" t="s">
        <v>246</v>
      </c>
      <c r="J29" s="79" t="s">
        <v>247</v>
      </c>
      <c r="K29" s="78">
        <v>-3728</v>
      </c>
      <c r="L29" s="78" t="s">
        <v>248</v>
      </c>
      <c r="M29" s="79" t="s">
        <v>220</v>
      </c>
      <c r="N29" s="79"/>
      <c r="O29" s="80" t="s">
        <v>228</v>
      </c>
      <c r="P29" s="80" t="s">
        <v>245</v>
      </c>
    </row>
    <row r="30" spans="1:16" ht="12.75" customHeight="1" x14ac:dyDescent="0.2">
      <c r="A30" s="32" t="str">
        <f t="shared" si="0"/>
        <v> BBS 20 </v>
      </c>
      <c r="B30" s="15" t="str">
        <f t="shared" si="1"/>
        <v>I</v>
      </c>
      <c r="C30" s="32">
        <f t="shared" si="2"/>
        <v>42417.273999999998</v>
      </c>
      <c r="D30" t="str">
        <f t="shared" si="3"/>
        <v>vis</v>
      </c>
      <c r="E30">
        <f>VLOOKUP(C30,Active!C$21:E$969,3,FALSE)</f>
        <v>-3727.0343657379508</v>
      </c>
      <c r="F30" s="15" t="s">
        <v>176</v>
      </c>
      <c r="G30" t="str">
        <f t="shared" si="4"/>
        <v>42417.274</v>
      </c>
      <c r="H30" s="32">
        <f t="shared" si="5"/>
        <v>-3727</v>
      </c>
      <c r="I30" s="78" t="s">
        <v>249</v>
      </c>
      <c r="J30" s="79" t="s">
        <v>250</v>
      </c>
      <c r="K30" s="78">
        <v>-3727</v>
      </c>
      <c r="L30" s="78" t="s">
        <v>251</v>
      </c>
      <c r="M30" s="79" t="s">
        <v>220</v>
      </c>
      <c r="N30" s="79"/>
      <c r="O30" s="80" t="s">
        <v>244</v>
      </c>
      <c r="P30" s="80" t="s">
        <v>245</v>
      </c>
    </row>
    <row r="31" spans="1:16" ht="12.75" customHeight="1" x14ac:dyDescent="0.2">
      <c r="A31" s="32" t="str">
        <f t="shared" si="0"/>
        <v> BBS 20 </v>
      </c>
      <c r="B31" s="15" t="str">
        <f t="shared" si="1"/>
        <v>I</v>
      </c>
      <c r="C31" s="32">
        <f t="shared" si="2"/>
        <v>42417.279999999999</v>
      </c>
      <c r="D31" t="str">
        <f t="shared" si="3"/>
        <v>vis</v>
      </c>
      <c r="E31">
        <f>VLOOKUP(C31,Active!C$21:E$969,3,FALSE)</f>
        <v>-3727.0273647761342</v>
      </c>
      <c r="F31" s="15" t="s">
        <v>176</v>
      </c>
      <c r="G31" t="str">
        <f t="shared" si="4"/>
        <v>42417.280</v>
      </c>
      <c r="H31" s="32">
        <f t="shared" si="5"/>
        <v>-3727</v>
      </c>
      <c r="I31" s="78" t="s">
        <v>252</v>
      </c>
      <c r="J31" s="79" t="s">
        <v>253</v>
      </c>
      <c r="K31" s="78">
        <v>-3727</v>
      </c>
      <c r="L31" s="78" t="s">
        <v>254</v>
      </c>
      <c r="M31" s="79" t="s">
        <v>220</v>
      </c>
      <c r="N31" s="79"/>
      <c r="O31" s="80" t="s">
        <v>228</v>
      </c>
      <c r="P31" s="80" t="s">
        <v>245</v>
      </c>
    </row>
    <row r="32" spans="1:16" ht="12.75" customHeight="1" x14ac:dyDescent="0.2">
      <c r="A32" s="32" t="str">
        <f t="shared" si="0"/>
        <v> BBS 21 </v>
      </c>
      <c r="B32" s="15" t="str">
        <f t="shared" si="1"/>
        <v>I</v>
      </c>
      <c r="C32" s="32">
        <f t="shared" si="2"/>
        <v>42453.267999999996</v>
      </c>
      <c r="D32" t="str">
        <f t="shared" si="3"/>
        <v>vis</v>
      </c>
      <c r="E32">
        <f>VLOOKUP(C32,Active!C$21:E$969,3,FALSE)</f>
        <v>-3685.0355958069435</v>
      </c>
      <c r="F32" s="15" t="s">
        <v>176</v>
      </c>
      <c r="G32" t="str">
        <f t="shared" si="4"/>
        <v>42453.268</v>
      </c>
      <c r="H32" s="32">
        <f t="shared" si="5"/>
        <v>-3685</v>
      </c>
      <c r="I32" s="78" t="s">
        <v>255</v>
      </c>
      <c r="J32" s="79" t="s">
        <v>256</v>
      </c>
      <c r="K32" s="78">
        <v>-3685</v>
      </c>
      <c r="L32" s="78" t="s">
        <v>257</v>
      </c>
      <c r="M32" s="79" t="s">
        <v>220</v>
      </c>
      <c r="N32" s="79"/>
      <c r="O32" s="80" t="s">
        <v>228</v>
      </c>
      <c r="P32" s="80" t="s">
        <v>258</v>
      </c>
    </row>
    <row r="33" spans="1:16" ht="12.75" customHeight="1" x14ac:dyDescent="0.2">
      <c r="A33" s="32" t="str">
        <f t="shared" si="0"/>
        <v> BBS 21 </v>
      </c>
      <c r="B33" s="15" t="str">
        <f t="shared" si="1"/>
        <v>I</v>
      </c>
      <c r="C33" s="32">
        <f t="shared" si="2"/>
        <v>42464.417999999998</v>
      </c>
      <c r="D33" t="str">
        <f t="shared" si="3"/>
        <v>vis</v>
      </c>
      <c r="E33">
        <f>VLOOKUP(C33,Active!C$21:E$969,3,FALSE)</f>
        <v>-3672.0254750998583</v>
      </c>
      <c r="F33" s="15" t="s">
        <v>176</v>
      </c>
      <c r="G33" t="str">
        <f t="shared" si="4"/>
        <v>42464.418</v>
      </c>
      <c r="H33" s="32">
        <f t="shared" si="5"/>
        <v>-3672</v>
      </c>
      <c r="I33" s="78" t="s">
        <v>259</v>
      </c>
      <c r="J33" s="79" t="s">
        <v>260</v>
      </c>
      <c r="K33" s="78">
        <v>-3672</v>
      </c>
      <c r="L33" s="78" t="s">
        <v>261</v>
      </c>
      <c r="M33" s="79" t="s">
        <v>220</v>
      </c>
      <c r="N33" s="79"/>
      <c r="O33" s="80" t="s">
        <v>228</v>
      </c>
      <c r="P33" s="80" t="s">
        <v>258</v>
      </c>
    </row>
    <row r="34" spans="1:16" ht="12.75" customHeight="1" x14ac:dyDescent="0.2">
      <c r="A34" s="32" t="str">
        <f t="shared" si="0"/>
        <v> VSSC 59.19 </v>
      </c>
      <c r="B34" s="15" t="str">
        <f t="shared" si="1"/>
        <v>I</v>
      </c>
      <c r="C34" s="32">
        <f t="shared" si="2"/>
        <v>44843.548999999999</v>
      </c>
      <c r="D34" t="str">
        <f t="shared" si="3"/>
        <v>vis</v>
      </c>
      <c r="E34">
        <f>VLOOKUP(C34,Active!C$21:E$969,3,FALSE)</f>
        <v>-895.99126093273401</v>
      </c>
      <c r="F34" s="15" t="s">
        <v>176</v>
      </c>
      <c r="G34" t="str">
        <f t="shared" si="4"/>
        <v>44843.549</v>
      </c>
      <c r="H34" s="32">
        <f t="shared" si="5"/>
        <v>-896</v>
      </c>
      <c r="I34" s="78" t="s">
        <v>262</v>
      </c>
      <c r="J34" s="79" t="s">
        <v>263</v>
      </c>
      <c r="K34" s="78">
        <v>-896</v>
      </c>
      <c r="L34" s="78" t="s">
        <v>264</v>
      </c>
      <c r="M34" s="79" t="s">
        <v>220</v>
      </c>
      <c r="N34" s="79"/>
      <c r="O34" s="80" t="s">
        <v>265</v>
      </c>
      <c r="P34" s="80" t="s">
        <v>266</v>
      </c>
    </row>
    <row r="35" spans="1:16" ht="12.75" customHeight="1" x14ac:dyDescent="0.2">
      <c r="A35" s="32" t="str">
        <f t="shared" si="0"/>
        <v> VSSC 59.19 </v>
      </c>
      <c r="B35" s="15" t="str">
        <f t="shared" si="1"/>
        <v>I</v>
      </c>
      <c r="C35" s="32">
        <f t="shared" si="2"/>
        <v>44874.404999999999</v>
      </c>
      <c r="D35" t="str">
        <f t="shared" si="3"/>
        <v>vis</v>
      </c>
      <c r="E35">
        <f>VLOOKUP(C35,Active!C$21:E$969,3,FALSE)</f>
        <v>-859.9876479697067</v>
      </c>
      <c r="F35" s="15" t="s">
        <v>176</v>
      </c>
      <c r="G35" t="str">
        <f t="shared" si="4"/>
        <v>44874.405</v>
      </c>
      <c r="H35" s="32">
        <f t="shared" si="5"/>
        <v>-860</v>
      </c>
      <c r="I35" s="78" t="s">
        <v>267</v>
      </c>
      <c r="J35" s="79" t="s">
        <v>268</v>
      </c>
      <c r="K35" s="78">
        <v>-860</v>
      </c>
      <c r="L35" s="78" t="s">
        <v>269</v>
      </c>
      <c r="M35" s="79" t="s">
        <v>220</v>
      </c>
      <c r="N35" s="79"/>
      <c r="O35" s="80" t="s">
        <v>265</v>
      </c>
      <c r="P35" s="80" t="s">
        <v>266</v>
      </c>
    </row>
    <row r="36" spans="1:16" ht="12.75" customHeight="1" x14ac:dyDescent="0.2">
      <c r="A36" s="32" t="str">
        <f t="shared" si="0"/>
        <v> BRNO 26 </v>
      </c>
      <c r="B36" s="15" t="str">
        <f t="shared" si="1"/>
        <v>I</v>
      </c>
      <c r="C36" s="32">
        <f t="shared" si="2"/>
        <v>44885.527999999998</v>
      </c>
      <c r="D36" t="str">
        <f t="shared" si="3"/>
        <v>vis</v>
      </c>
      <c r="E36">
        <f>VLOOKUP(C36,Active!C$21:E$969,3,FALSE)</f>
        <v>-847.00903159079371</v>
      </c>
      <c r="F36" s="15" t="s">
        <v>176</v>
      </c>
      <c r="G36" t="str">
        <f t="shared" si="4"/>
        <v>44885.528</v>
      </c>
      <c r="H36" s="32">
        <f t="shared" si="5"/>
        <v>-847</v>
      </c>
      <c r="I36" s="78" t="s">
        <v>270</v>
      </c>
      <c r="J36" s="79" t="s">
        <v>271</v>
      </c>
      <c r="K36" s="78">
        <v>-847</v>
      </c>
      <c r="L36" s="78" t="s">
        <v>272</v>
      </c>
      <c r="M36" s="79" t="s">
        <v>220</v>
      </c>
      <c r="N36" s="79"/>
      <c r="O36" s="80" t="s">
        <v>273</v>
      </c>
      <c r="P36" s="80" t="s">
        <v>274</v>
      </c>
    </row>
    <row r="37" spans="1:16" ht="12.75" customHeight="1" x14ac:dyDescent="0.2">
      <c r="A37" s="32" t="str">
        <f t="shared" si="0"/>
        <v> VSSC 59.19 </v>
      </c>
      <c r="B37" s="15" t="str">
        <f t="shared" si="1"/>
        <v>I</v>
      </c>
      <c r="C37" s="32">
        <f t="shared" si="2"/>
        <v>44970.383999999998</v>
      </c>
      <c r="D37" t="str">
        <f t="shared" si="3"/>
        <v>vis</v>
      </c>
      <c r="E37">
        <f>VLOOKUP(C37,Active!C$21:E$969,3,FALSE)</f>
        <v>-747.99676228852968</v>
      </c>
      <c r="F37" s="15" t="s">
        <v>176</v>
      </c>
      <c r="G37" t="str">
        <f t="shared" si="4"/>
        <v>44970.384</v>
      </c>
      <c r="H37" s="32">
        <f t="shared" si="5"/>
        <v>-748</v>
      </c>
      <c r="I37" s="78" t="s">
        <v>275</v>
      </c>
      <c r="J37" s="79" t="s">
        <v>276</v>
      </c>
      <c r="K37" s="78">
        <v>-748</v>
      </c>
      <c r="L37" s="78" t="s">
        <v>277</v>
      </c>
      <c r="M37" s="79" t="s">
        <v>220</v>
      </c>
      <c r="N37" s="79"/>
      <c r="O37" s="80" t="s">
        <v>265</v>
      </c>
      <c r="P37" s="80" t="s">
        <v>266</v>
      </c>
    </row>
    <row r="38" spans="1:16" ht="12.75" customHeight="1" x14ac:dyDescent="0.2">
      <c r="A38" s="32" t="str">
        <f t="shared" si="0"/>
        <v> VSSC 60.22 </v>
      </c>
      <c r="B38" s="15" t="str">
        <f t="shared" si="1"/>
        <v>I</v>
      </c>
      <c r="C38" s="32">
        <f t="shared" si="2"/>
        <v>44982.368000000002</v>
      </c>
      <c r="D38" t="str">
        <f t="shared" si="3"/>
        <v>vis</v>
      </c>
      <c r="E38">
        <f>VLOOKUP(C38,Active!C$21:E$969,3,FALSE)</f>
        <v>-734.01350788909133</v>
      </c>
      <c r="F38" s="15" t="s">
        <v>176</v>
      </c>
      <c r="G38" t="str">
        <f t="shared" si="4"/>
        <v>44982.368</v>
      </c>
      <c r="H38" s="32">
        <f t="shared" si="5"/>
        <v>-734</v>
      </c>
      <c r="I38" s="78" t="s">
        <v>278</v>
      </c>
      <c r="J38" s="79" t="s">
        <v>279</v>
      </c>
      <c r="K38" s="78">
        <v>-734</v>
      </c>
      <c r="L38" s="78" t="s">
        <v>280</v>
      </c>
      <c r="M38" s="79" t="s">
        <v>220</v>
      </c>
      <c r="N38" s="79"/>
      <c r="O38" s="80" t="s">
        <v>265</v>
      </c>
      <c r="P38" s="80" t="s">
        <v>281</v>
      </c>
    </row>
    <row r="39" spans="1:16" ht="12.75" customHeight="1" x14ac:dyDescent="0.2">
      <c r="A39" s="32" t="str">
        <f t="shared" si="0"/>
        <v> VSSC 60.22 </v>
      </c>
      <c r="B39" s="15" t="str">
        <f t="shared" si="1"/>
        <v>I</v>
      </c>
      <c r="C39" s="32">
        <f t="shared" si="2"/>
        <v>45012.368000000002</v>
      </c>
      <c r="D39" t="str">
        <f t="shared" si="3"/>
        <v>vis</v>
      </c>
      <c r="E39">
        <f>VLOOKUP(C39,Active!C$21:E$969,3,FALSE)</f>
        <v>-699.00869881173764</v>
      </c>
      <c r="F39" s="15" t="s">
        <v>176</v>
      </c>
      <c r="G39" t="str">
        <f t="shared" si="4"/>
        <v>45012.368</v>
      </c>
      <c r="H39" s="32">
        <f t="shared" si="5"/>
        <v>-699</v>
      </c>
      <c r="I39" s="78" t="s">
        <v>282</v>
      </c>
      <c r="J39" s="79" t="s">
        <v>283</v>
      </c>
      <c r="K39" s="78">
        <v>-699</v>
      </c>
      <c r="L39" s="78" t="s">
        <v>210</v>
      </c>
      <c r="M39" s="79" t="s">
        <v>220</v>
      </c>
      <c r="N39" s="79"/>
      <c r="O39" s="80" t="s">
        <v>265</v>
      </c>
      <c r="P39" s="80" t="s">
        <v>281</v>
      </c>
    </row>
    <row r="40" spans="1:16" ht="12.75" customHeight="1" x14ac:dyDescent="0.2">
      <c r="A40" s="32" t="str">
        <f t="shared" si="0"/>
        <v> VSSC 60.22 </v>
      </c>
      <c r="B40" s="15" t="str">
        <f t="shared" si="1"/>
        <v>I</v>
      </c>
      <c r="C40" s="32">
        <f t="shared" si="2"/>
        <v>45191.483999999997</v>
      </c>
      <c r="D40" t="str">
        <f t="shared" si="3"/>
        <v>vis</v>
      </c>
      <c r="E40">
        <f>VLOOKUP(C40,Active!C$21:E$969,3,FALSE)</f>
        <v>-490.01131938843423</v>
      </c>
      <c r="F40" s="15" t="s">
        <v>176</v>
      </c>
      <c r="G40" t="str">
        <f t="shared" si="4"/>
        <v>45191.484</v>
      </c>
      <c r="H40" s="32">
        <f t="shared" si="5"/>
        <v>-490</v>
      </c>
      <c r="I40" s="78" t="s">
        <v>284</v>
      </c>
      <c r="J40" s="79" t="s">
        <v>285</v>
      </c>
      <c r="K40" s="78">
        <v>-490</v>
      </c>
      <c r="L40" s="78" t="s">
        <v>286</v>
      </c>
      <c r="M40" s="79" t="s">
        <v>220</v>
      </c>
      <c r="N40" s="79"/>
      <c r="O40" s="80" t="s">
        <v>265</v>
      </c>
      <c r="P40" s="80" t="s">
        <v>281</v>
      </c>
    </row>
    <row r="41" spans="1:16" ht="12.75" customHeight="1" x14ac:dyDescent="0.2">
      <c r="A41" s="32" t="str">
        <f t="shared" si="0"/>
        <v> BBS 62 </v>
      </c>
      <c r="B41" s="15" t="str">
        <f t="shared" si="1"/>
        <v>I</v>
      </c>
      <c r="C41" s="32">
        <f t="shared" si="2"/>
        <v>45240.339</v>
      </c>
      <c r="D41" t="str">
        <f t="shared" si="3"/>
        <v>vis</v>
      </c>
      <c r="E41">
        <f>VLOOKUP(C41,Active!C$21:E$969,3,FALSE)</f>
        <v>-433.00598780595993</v>
      </c>
      <c r="F41" s="15" t="s">
        <v>176</v>
      </c>
      <c r="G41" t="str">
        <f t="shared" si="4"/>
        <v>45240.339</v>
      </c>
      <c r="H41" s="32">
        <f t="shared" si="5"/>
        <v>-433</v>
      </c>
      <c r="I41" s="78" t="s">
        <v>287</v>
      </c>
      <c r="J41" s="79" t="s">
        <v>288</v>
      </c>
      <c r="K41" s="78">
        <v>-433</v>
      </c>
      <c r="L41" s="78" t="s">
        <v>179</v>
      </c>
      <c r="M41" s="79" t="s">
        <v>220</v>
      </c>
      <c r="N41" s="79"/>
      <c r="O41" s="80" t="s">
        <v>244</v>
      </c>
      <c r="P41" s="80" t="s">
        <v>289</v>
      </c>
    </row>
    <row r="42" spans="1:16" ht="12.75" customHeight="1" x14ac:dyDescent="0.2">
      <c r="A42" s="32" t="str">
        <f t="shared" si="0"/>
        <v> BBS 62 </v>
      </c>
      <c r="B42" s="15" t="str">
        <f t="shared" si="1"/>
        <v>I</v>
      </c>
      <c r="C42" s="32">
        <f t="shared" si="2"/>
        <v>45240.345000000001</v>
      </c>
      <c r="D42" t="str">
        <f t="shared" si="3"/>
        <v>vis</v>
      </c>
      <c r="E42">
        <f>VLOOKUP(C42,Active!C$21:E$969,3,FALSE)</f>
        <v>-432.99898684414302</v>
      </c>
      <c r="F42" s="15" t="s">
        <v>176</v>
      </c>
      <c r="G42" t="str">
        <f t="shared" si="4"/>
        <v>45240.345</v>
      </c>
      <c r="H42" s="32">
        <f t="shared" si="5"/>
        <v>-433</v>
      </c>
      <c r="I42" s="78" t="s">
        <v>290</v>
      </c>
      <c r="J42" s="79" t="s">
        <v>291</v>
      </c>
      <c r="K42" s="78">
        <v>-433</v>
      </c>
      <c r="L42" s="78" t="s">
        <v>292</v>
      </c>
      <c r="M42" s="79" t="s">
        <v>220</v>
      </c>
      <c r="N42" s="79"/>
      <c r="O42" s="80" t="s">
        <v>293</v>
      </c>
      <c r="P42" s="80" t="s">
        <v>289</v>
      </c>
    </row>
    <row r="43" spans="1:16" ht="12.75" customHeight="1" x14ac:dyDescent="0.2">
      <c r="A43" s="32" t="str">
        <f t="shared" si="0"/>
        <v> BBS 62 </v>
      </c>
      <c r="B43" s="15" t="str">
        <f t="shared" si="1"/>
        <v>I</v>
      </c>
      <c r="C43" s="32">
        <f t="shared" si="2"/>
        <v>45240.36</v>
      </c>
      <c r="D43" t="str">
        <f t="shared" si="3"/>
        <v>vis</v>
      </c>
      <c r="E43">
        <f>VLOOKUP(C43,Active!C$21:E$969,3,FALSE)</f>
        <v>-432.98148443960503</v>
      </c>
      <c r="F43" s="15" t="s">
        <v>176</v>
      </c>
      <c r="G43" t="str">
        <f t="shared" si="4"/>
        <v>45240.360</v>
      </c>
      <c r="H43" s="32">
        <f t="shared" si="5"/>
        <v>-433</v>
      </c>
      <c r="I43" s="78" t="s">
        <v>294</v>
      </c>
      <c r="J43" s="79" t="s">
        <v>295</v>
      </c>
      <c r="K43" s="78">
        <v>-433</v>
      </c>
      <c r="L43" s="78" t="s">
        <v>188</v>
      </c>
      <c r="M43" s="79" t="s">
        <v>220</v>
      </c>
      <c r="N43" s="79"/>
      <c r="O43" s="80" t="s">
        <v>296</v>
      </c>
      <c r="P43" s="80" t="s">
        <v>289</v>
      </c>
    </row>
    <row r="44" spans="1:16" ht="12.75" customHeight="1" x14ac:dyDescent="0.2">
      <c r="A44" s="32" t="str">
        <f t="shared" si="0"/>
        <v> BBS 64 </v>
      </c>
      <c r="B44" s="15" t="str">
        <f t="shared" si="1"/>
        <v>I</v>
      </c>
      <c r="C44" s="32">
        <f t="shared" si="2"/>
        <v>45282.32</v>
      </c>
      <c r="D44" t="str">
        <f t="shared" si="3"/>
        <v>vis</v>
      </c>
      <c r="E44">
        <f>VLOOKUP(C44,Active!C$21:E$969,3,FALSE)</f>
        <v>-384.02142481008059</v>
      </c>
      <c r="F44" s="15" t="s">
        <v>176</v>
      </c>
      <c r="G44" t="str">
        <f t="shared" si="4"/>
        <v>45282.320</v>
      </c>
      <c r="H44" s="32">
        <f t="shared" si="5"/>
        <v>-384</v>
      </c>
      <c r="I44" s="78" t="s">
        <v>297</v>
      </c>
      <c r="J44" s="79" t="s">
        <v>298</v>
      </c>
      <c r="K44" s="78">
        <v>-384</v>
      </c>
      <c r="L44" s="78" t="s">
        <v>299</v>
      </c>
      <c r="M44" s="79" t="s">
        <v>220</v>
      </c>
      <c r="N44" s="79"/>
      <c r="O44" s="80" t="s">
        <v>300</v>
      </c>
      <c r="P44" s="80" t="s">
        <v>301</v>
      </c>
    </row>
    <row r="45" spans="1:16" ht="12.75" customHeight="1" x14ac:dyDescent="0.2">
      <c r="A45" s="32" t="str">
        <f t="shared" si="0"/>
        <v> BBS 64 </v>
      </c>
      <c r="B45" s="15" t="str">
        <f t="shared" si="1"/>
        <v>I</v>
      </c>
      <c r="C45" s="32">
        <f t="shared" si="2"/>
        <v>45288.356</v>
      </c>
      <c r="D45" t="str">
        <f t="shared" si="3"/>
        <v>vis</v>
      </c>
      <c r="E45">
        <f>VLOOKUP(C45,Active!C$21:E$969,3,FALSE)</f>
        <v>-376.97845722371699</v>
      </c>
      <c r="F45" s="15" t="s">
        <v>176</v>
      </c>
      <c r="G45" t="str">
        <f t="shared" si="4"/>
        <v>45288.356</v>
      </c>
      <c r="H45" s="32">
        <f t="shared" si="5"/>
        <v>-377</v>
      </c>
      <c r="I45" s="78" t="s">
        <v>302</v>
      </c>
      <c r="J45" s="79" t="s">
        <v>303</v>
      </c>
      <c r="K45" s="78">
        <v>-377</v>
      </c>
      <c r="L45" s="78" t="s">
        <v>196</v>
      </c>
      <c r="M45" s="79" t="s">
        <v>220</v>
      </c>
      <c r="N45" s="79"/>
      <c r="O45" s="80" t="s">
        <v>293</v>
      </c>
      <c r="P45" s="80" t="s">
        <v>301</v>
      </c>
    </row>
    <row r="46" spans="1:16" ht="12.75" customHeight="1" x14ac:dyDescent="0.2">
      <c r="A46" s="32" t="str">
        <f t="shared" si="0"/>
        <v> BBS 64 </v>
      </c>
      <c r="B46" s="15" t="str">
        <f t="shared" si="1"/>
        <v>I</v>
      </c>
      <c r="C46" s="32">
        <f t="shared" si="2"/>
        <v>45294.317999999999</v>
      </c>
      <c r="D46" t="str">
        <f t="shared" si="3"/>
        <v>vis</v>
      </c>
      <c r="E46">
        <f>VLOOKUP(C46,Active!C$21:E$969,3,FALSE)</f>
        <v>-370.02183483307806</v>
      </c>
      <c r="F46" s="15" t="s">
        <v>176</v>
      </c>
      <c r="G46" t="str">
        <f t="shared" si="4"/>
        <v>45294.318</v>
      </c>
      <c r="H46" s="32">
        <f t="shared" si="5"/>
        <v>-370</v>
      </c>
      <c r="I46" s="78" t="s">
        <v>304</v>
      </c>
      <c r="J46" s="79" t="s">
        <v>305</v>
      </c>
      <c r="K46" s="78">
        <v>-370</v>
      </c>
      <c r="L46" s="78" t="s">
        <v>248</v>
      </c>
      <c r="M46" s="79" t="s">
        <v>220</v>
      </c>
      <c r="N46" s="79"/>
      <c r="O46" s="80" t="s">
        <v>300</v>
      </c>
      <c r="P46" s="80" t="s">
        <v>301</v>
      </c>
    </row>
    <row r="47" spans="1:16" ht="12.75" customHeight="1" x14ac:dyDescent="0.2">
      <c r="A47" s="32" t="str">
        <f t="shared" si="0"/>
        <v> BBS 64 </v>
      </c>
      <c r="B47" s="15" t="str">
        <f t="shared" si="1"/>
        <v>I</v>
      </c>
      <c r="C47" s="32">
        <f t="shared" si="2"/>
        <v>45294.349000000002</v>
      </c>
      <c r="D47" t="str">
        <f t="shared" si="3"/>
        <v>vis</v>
      </c>
      <c r="E47">
        <f>VLOOKUP(C47,Active!C$21:E$969,3,FALSE)</f>
        <v>-369.98566319702837</v>
      </c>
      <c r="F47" s="15" t="s">
        <v>176</v>
      </c>
      <c r="G47" t="str">
        <f t="shared" si="4"/>
        <v>45294.349</v>
      </c>
      <c r="H47" s="32">
        <f t="shared" si="5"/>
        <v>-370</v>
      </c>
      <c r="I47" s="78" t="s">
        <v>306</v>
      </c>
      <c r="J47" s="79" t="s">
        <v>307</v>
      </c>
      <c r="K47" s="78">
        <v>-370</v>
      </c>
      <c r="L47" s="78" t="s">
        <v>308</v>
      </c>
      <c r="M47" s="79" t="s">
        <v>220</v>
      </c>
      <c r="N47" s="79"/>
      <c r="O47" s="80" t="s">
        <v>293</v>
      </c>
      <c r="P47" s="80" t="s">
        <v>301</v>
      </c>
    </row>
    <row r="48" spans="1:16" ht="12.75" customHeight="1" x14ac:dyDescent="0.2">
      <c r="A48" s="32" t="str">
        <f t="shared" si="0"/>
        <v> BBS 64 </v>
      </c>
      <c r="B48" s="15" t="str">
        <f t="shared" si="1"/>
        <v>I</v>
      </c>
      <c r="C48" s="32">
        <f t="shared" si="2"/>
        <v>45342.347000000002</v>
      </c>
      <c r="D48" t="str">
        <f t="shared" si="3"/>
        <v>vis</v>
      </c>
      <c r="E48">
        <f>VLOOKUP(C48,Active!C$21:E$969,3,FALSE)</f>
        <v>-313.98030232720134</v>
      </c>
      <c r="F48" s="15" t="s">
        <v>176</v>
      </c>
      <c r="G48" t="str">
        <f t="shared" si="4"/>
        <v>45342.347</v>
      </c>
      <c r="H48" s="32">
        <f t="shared" si="5"/>
        <v>-314</v>
      </c>
      <c r="I48" s="78" t="s">
        <v>309</v>
      </c>
      <c r="J48" s="79" t="s">
        <v>310</v>
      </c>
      <c r="K48" s="78">
        <v>-314</v>
      </c>
      <c r="L48" s="78" t="s">
        <v>311</v>
      </c>
      <c r="M48" s="79" t="s">
        <v>220</v>
      </c>
      <c r="N48" s="79"/>
      <c r="O48" s="80" t="s">
        <v>312</v>
      </c>
      <c r="P48" s="80" t="s">
        <v>301</v>
      </c>
    </row>
    <row r="49" spans="1:16" ht="12.75" customHeight="1" x14ac:dyDescent="0.2">
      <c r="A49" s="32" t="str">
        <f t="shared" si="0"/>
        <v> BBS 65 </v>
      </c>
      <c r="B49" s="15" t="str">
        <f t="shared" si="1"/>
        <v>I</v>
      </c>
      <c r="C49" s="32">
        <f t="shared" si="2"/>
        <v>45402.324000000001</v>
      </c>
      <c r="D49" t="str">
        <f t="shared" si="3"/>
        <v>vis</v>
      </c>
      <c r="E49">
        <f>VLOOKUP(C49,Active!C$21:E$969,3,FALSE)</f>
        <v>-243.9975211927877</v>
      </c>
      <c r="F49" s="15" t="s">
        <v>176</v>
      </c>
      <c r="G49" t="str">
        <f t="shared" si="4"/>
        <v>45402.324</v>
      </c>
      <c r="H49" s="32">
        <f t="shared" si="5"/>
        <v>-244</v>
      </c>
      <c r="I49" s="78" t="s">
        <v>313</v>
      </c>
      <c r="J49" s="79" t="s">
        <v>314</v>
      </c>
      <c r="K49" s="78">
        <v>-244</v>
      </c>
      <c r="L49" s="78" t="s">
        <v>315</v>
      </c>
      <c r="M49" s="79" t="s">
        <v>220</v>
      </c>
      <c r="N49" s="79"/>
      <c r="O49" s="80" t="s">
        <v>312</v>
      </c>
      <c r="P49" s="80" t="s">
        <v>316</v>
      </c>
    </row>
    <row r="50" spans="1:16" ht="12.75" customHeight="1" x14ac:dyDescent="0.2">
      <c r="A50" s="32" t="str">
        <f t="shared" si="0"/>
        <v> BBS 65 </v>
      </c>
      <c r="B50" s="15" t="str">
        <f t="shared" si="1"/>
        <v>I</v>
      </c>
      <c r="C50" s="32">
        <f t="shared" si="2"/>
        <v>45402.332000000002</v>
      </c>
      <c r="D50" t="str">
        <f t="shared" si="3"/>
        <v>vis</v>
      </c>
      <c r="E50">
        <f>VLOOKUP(C50,Active!C$21:E$969,3,FALSE)</f>
        <v>-243.98818657703183</v>
      </c>
      <c r="F50" s="15" t="s">
        <v>176</v>
      </c>
      <c r="G50" t="str">
        <f t="shared" si="4"/>
        <v>45402.332</v>
      </c>
      <c r="H50" s="32">
        <f t="shared" si="5"/>
        <v>-244</v>
      </c>
      <c r="I50" s="78" t="s">
        <v>317</v>
      </c>
      <c r="J50" s="79" t="s">
        <v>318</v>
      </c>
      <c r="K50" s="78">
        <v>-244</v>
      </c>
      <c r="L50" s="78" t="s">
        <v>319</v>
      </c>
      <c r="M50" s="79" t="s">
        <v>220</v>
      </c>
      <c r="N50" s="79"/>
      <c r="O50" s="80" t="s">
        <v>244</v>
      </c>
      <c r="P50" s="80" t="s">
        <v>316</v>
      </c>
    </row>
    <row r="51" spans="1:16" ht="12.75" customHeight="1" x14ac:dyDescent="0.2">
      <c r="A51" s="32" t="str">
        <f t="shared" si="0"/>
        <v> BBS 69 </v>
      </c>
      <c r="B51" s="15" t="str">
        <f t="shared" si="1"/>
        <v>I</v>
      </c>
      <c r="C51" s="32">
        <f t="shared" si="2"/>
        <v>45611.436000000002</v>
      </c>
      <c r="D51" t="str">
        <f t="shared" si="3"/>
        <v>vis</v>
      </c>
      <c r="E51">
        <f>VLOOKUP(C51,Active!C$21:E$969,3,FALSE)</f>
        <v>0</v>
      </c>
      <c r="F51" s="15" t="s">
        <v>176</v>
      </c>
      <c r="G51" t="str">
        <f t="shared" si="4"/>
        <v>45611.436</v>
      </c>
      <c r="H51" s="32">
        <f t="shared" si="5"/>
        <v>0</v>
      </c>
      <c r="I51" s="78" t="s">
        <v>320</v>
      </c>
      <c r="J51" s="79" t="s">
        <v>321</v>
      </c>
      <c r="K51" s="78">
        <v>0</v>
      </c>
      <c r="L51" s="78" t="s">
        <v>322</v>
      </c>
      <c r="M51" s="79" t="s">
        <v>220</v>
      </c>
      <c r="N51" s="79"/>
      <c r="O51" s="80" t="s">
        <v>293</v>
      </c>
      <c r="P51" s="80" t="s">
        <v>323</v>
      </c>
    </row>
    <row r="52" spans="1:16" ht="12.75" customHeight="1" x14ac:dyDescent="0.2">
      <c r="A52" s="32" t="str">
        <f t="shared" si="0"/>
        <v> VSSC 60.22 </v>
      </c>
      <c r="B52" s="15" t="str">
        <f t="shared" si="1"/>
        <v>I</v>
      </c>
      <c r="C52" s="32">
        <f t="shared" si="2"/>
        <v>45635.432999999997</v>
      </c>
      <c r="D52" t="str">
        <f t="shared" si="3"/>
        <v>vis</v>
      </c>
      <c r="E52">
        <f>VLOOKUP(C52,Active!C$21:E$969,3,FALSE)</f>
        <v>28.0003467809703</v>
      </c>
      <c r="F52" s="15" t="s">
        <v>176</v>
      </c>
      <c r="G52" t="str">
        <f t="shared" si="4"/>
        <v>45635.433</v>
      </c>
      <c r="H52" s="32">
        <f t="shared" si="5"/>
        <v>28</v>
      </c>
      <c r="I52" s="78" t="s">
        <v>324</v>
      </c>
      <c r="J52" s="79" t="s">
        <v>325</v>
      </c>
      <c r="K52" s="78">
        <v>28</v>
      </c>
      <c r="L52" s="78" t="s">
        <v>322</v>
      </c>
      <c r="M52" s="79" t="s">
        <v>220</v>
      </c>
      <c r="N52" s="79"/>
      <c r="O52" s="80" t="s">
        <v>265</v>
      </c>
      <c r="P52" s="80" t="s">
        <v>281</v>
      </c>
    </row>
    <row r="53" spans="1:16" ht="12.75" customHeight="1" x14ac:dyDescent="0.2">
      <c r="A53" s="32" t="str">
        <f t="shared" si="0"/>
        <v> BBS 69 </v>
      </c>
      <c r="B53" s="15" t="str">
        <f t="shared" si="1"/>
        <v>I</v>
      </c>
      <c r="C53" s="32">
        <f t="shared" si="2"/>
        <v>45641.430999999997</v>
      </c>
      <c r="D53" t="str">
        <f t="shared" si="3"/>
        <v>vis</v>
      </c>
      <c r="E53">
        <f>VLOOKUP(C53,Active!C$21:E$969,3,FALSE)</f>
        <v>34.998974942502088</v>
      </c>
      <c r="F53" s="15" t="s">
        <v>176</v>
      </c>
      <c r="G53" t="str">
        <f t="shared" si="4"/>
        <v>45641.431</v>
      </c>
      <c r="H53" s="32">
        <f t="shared" si="5"/>
        <v>35</v>
      </c>
      <c r="I53" s="78" t="s">
        <v>326</v>
      </c>
      <c r="J53" s="79" t="s">
        <v>327</v>
      </c>
      <c r="K53" s="78">
        <v>35</v>
      </c>
      <c r="L53" s="78" t="s">
        <v>216</v>
      </c>
      <c r="M53" s="79" t="s">
        <v>220</v>
      </c>
      <c r="N53" s="79"/>
      <c r="O53" s="80" t="s">
        <v>293</v>
      </c>
      <c r="P53" s="80" t="s">
        <v>323</v>
      </c>
    </row>
    <row r="54" spans="1:16" ht="12.75" customHeight="1" x14ac:dyDescent="0.2">
      <c r="A54" s="32" t="str">
        <f t="shared" si="0"/>
        <v> BBS 69 </v>
      </c>
      <c r="B54" s="15" t="str">
        <f t="shared" si="1"/>
        <v>I</v>
      </c>
      <c r="C54" s="32">
        <f t="shared" si="2"/>
        <v>45642.273999999998</v>
      </c>
      <c r="D54" t="str">
        <f t="shared" si="3"/>
        <v>vis</v>
      </c>
      <c r="E54">
        <f>VLOOKUP(C54,Active!C$21:E$969,3,FALSE)</f>
        <v>35.982610077576609</v>
      </c>
      <c r="F54" s="15" t="s">
        <v>176</v>
      </c>
      <c r="G54" t="str">
        <f t="shared" si="4"/>
        <v>45642.274</v>
      </c>
      <c r="H54" s="32">
        <f t="shared" si="5"/>
        <v>36</v>
      </c>
      <c r="I54" s="78" t="s">
        <v>328</v>
      </c>
      <c r="J54" s="79" t="s">
        <v>329</v>
      </c>
      <c r="K54" s="78">
        <v>36</v>
      </c>
      <c r="L54" s="78" t="s">
        <v>236</v>
      </c>
      <c r="M54" s="79" t="s">
        <v>220</v>
      </c>
      <c r="N54" s="79"/>
      <c r="O54" s="80" t="s">
        <v>244</v>
      </c>
      <c r="P54" s="80" t="s">
        <v>323</v>
      </c>
    </row>
    <row r="55" spans="1:16" ht="12.75" customHeight="1" x14ac:dyDescent="0.2">
      <c r="A55" s="32" t="str">
        <f t="shared" si="0"/>
        <v> BBS 69 </v>
      </c>
      <c r="B55" s="15" t="str">
        <f t="shared" si="1"/>
        <v>I</v>
      </c>
      <c r="C55" s="32">
        <f t="shared" si="2"/>
        <v>45646.563999999998</v>
      </c>
      <c r="D55" t="str">
        <f t="shared" si="3"/>
        <v>vis</v>
      </c>
      <c r="E55">
        <f>VLOOKUP(C55,Active!C$21:E$969,3,FALSE)</f>
        <v>40.988297775639211</v>
      </c>
      <c r="F55" s="15" t="s">
        <v>176</v>
      </c>
      <c r="G55" t="str">
        <f t="shared" si="4"/>
        <v>45646.564</v>
      </c>
      <c r="H55" s="32">
        <f t="shared" si="5"/>
        <v>41</v>
      </c>
      <c r="I55" s="78" t="s">
        <v>330</v>
      </c>
      <c r="J55" s="79" t="s">
        <v>331</v>
      </c>
      <c r="K55" s="78">
        <v>41</v>
      </c>
      <c r="L55" s="78" t="s">
        <v>286</v>
      </c>
      <c r="M55" s="79" t="s">
        <v>220</v>
      </c>
      <c r="N55" s="79"/>
      <c r="O55" s="80" t="s">
        <v>293</v>
      </c>
      <c r="P55" s="80" t="s">
        <v>323</v>
      </c>
    </row>
    <row r="56" spans="1:16" ht="12.75" customHeight="1" x14ac:dyDescent="0.2">
      <c r="A56" s="32" t="str">
        <f t="shared" si="0"/>
        <v> BRNO 26 </v>
      </c>
      <c r="B56" s="15" t="str">
        <f t="shared" si="1"/>
        <v>I</v>
      </c>
      <c r="C56" s="32">
        <f t="shared" si="2"/>
        <v>45671.404999999999</v>
      </c>
      <c r="D56" t="str">
        <f t="shared" si="3"/>
        <v>vis</v>
      </c>
      <c r="E56">
        <f>VLOOKUP(C56,Active!C$21:E$969,3,FALSE)</f>
        <v>69.973446518657767</v>
      </c>
      <c r="F56" s="15" t="s">
        <v>176</v>
      </c>
      <c r="G56" t="str">
        <f t="shared" si="4"/>
        <v>45671.405</v>
      </c>
      <c r="H56" s="32">
        <f t="shared" si="5"/>
        <v>70</v>
      </c>
      <c r="I56" s="78" t="s">
        <v>332</v>
      </c>
      <c r="J56" s="79" t="s">
        <v>333</v>
      </c>
      <c r="K56" s="78">
        <v>70</v>
      </c>
      <c r="L56" s="78" t="s">
        <v>254</v>
      </c>
      <c r="M56" s="79" t="s">
        <v>220</v>
      </c>
      <c r="N56" s="79"/>
      <c r="O56" s="80" t="s">
        <v>334</v>
      </c>
      <c r="P56" s="80" t="s">
        <v>274</v>
      </c>
    </row>
    <row r="57" spans="1:16" ht="12.75" customHeight="1" x14ac:dyDescent="0.2">
      <c r="A57" s="32" t="str">
        <f t="shared" si="0"/>
        <v> VSSC 60.22 </v>
      </c>
      <c r="B57" s="15" t="str">
        <f t="shared" si="1"/>
        <v>I</v>
      </c>
      <c r="C57" s="32">
        <f t="shared" si="2"/>
        <v>45671.419000000002</v>
      </c>
      <c r="D57" t="str">
        <f t="shared" si="3"/>
        <v>vis</v>
      </c>
      <c r="E57">
        <f>VLOOKUP(C57,Active!C$21:E$969,3,FALSE)</f>
        <v>69.989782096230527</v>
      </c>
      <c r="F57" s="15" t="s">
        <v>176</v>
      </c>
      <c r="G57" t="str">
        <f t="shared" si="4"/>
        <v>45671.419</v>
      </c>
      <c r="H57" s="32">
        <f t="shared" si="5"/>
        <v>70</v>
      </c>
      <c r="I57" s="78" t="s">
        <v>335</v>
      </c>
      <c r="J57" s="79" t="s">
        <v>336</v>
      </c>
      <c r="K57" s="78">
        <v>70</v>
      </c>
      <c r="L57" s="78" t="s">
        <v>337</v>
      </c>
      <c r="M57" s="79" t="s">
        <v>220</v>
      </c>
      <c r="N57" s="79"/>
      <c r="O57" s="80" t="s">
        <v>265</v>
      </c>
      <c r="P57" s="80" t="s">
        <v>281</v>
      </c>
    </row>
    <row r="58" spans="1:16" ht="12.75" customHeight="1" x14ac:dyDescent="0.2">
      <c r="A58" s="32" t="str">
        <f t="shared" si="0"/>
        <v> BRNO 26 </v>
      </c>
      <c r="B58" s="15" t="str">
        <f t="shared" si="1"/>
        <v>I</v>
      </c>
      <c r="C58" s="32">
        <f t="shared" si="2"/>
        <v>45672.285000000003</v>
      </c>
      <c r="D58" t="str">
        <f t="shared" si="3"/>
        <v>vis</v>
      </c>
      <c r="E58">
        <f>VLOOKUP(C58,Active!C$21:E$969,3,FALSE)</f>
        <v>71.000254251598903</v>
      </c>
      <c r="F58" s="15" t="s">
        <v>176</v>
      </c>
      <c r="G58" t="str">
        <f t="shared" si="4"/>
        <v>45672.285</v>
      </c>
      <c r="H58" s="32">
        <f t="shared" si="5"/>
        <v>71</v>
      </c>
      <c r="I58" s="78" t="s">
        <v>338</v>
      </c>
      <c r="J58" s="79" t="s">
        <v>339</v>
      </c>
      <c r="K58" s="78">
        <v>71</v>
      </c>
      <c r="L58" s="78" t="s">
        <v>322</v>
      </c>
      <c r="M58" s="79" t="s">
        <v>220</v>
      </c>
      <c r="N58" s="79"/>
      <c r="O58" s="80" t="s">
        <v>273</v>
      </c>
      <c r="P58" s="80" t="s">
        <v>274</v>
      </c>
    </row>
    <row r="59" spans="1:16" ht="12.75" customHeight="1" x14ac:dyDescent="0.2">
      <c r="A59" s="32" t="str">
        <f t="shared" si="0"/>
        <v> BBS 71 </v>
      </c>
      <c r="B59" s="15" t="str">
        <f t="shared" si="1"/>
        <v>I</v>
      </c>
      <c r="C59" s="32">
        <f t="shared" si="2"/>
        <v>45678.303</v>
      </c>
      <c r="D59" t="str">
        <f t="shared" si="3"/>
        <v>vis</v>
      </c>
      <c r="E59">
        <f>VLOOKUP(C59,Active!C$21:E$969,3,FALSE)</f>
        <v>78.022218952511864</v>
      </c>
      <c r="F59" s="15" t="s">
        <v>176</v>
      </c>
      <c r="G59" t="str">
        <f t="shared" si="4"/>
        <v>45678.303</v>
      </c>
      <c r="H59" s="32">
        <f t="shared" si="5"/>
        <v>78</v>
      </c>
      <c r="I59" s="78" t="s">
        <v>340</v>
      </c>
      <c r="J59" s="79" t="s">
        <v>341</v>
      </c>
      <c r="K59" s="78">
        <v>78</v>
      </c>
      <c r="L59" s="78" t="s">
        <v>202</v>
      </c>
      <c r="M59" s="79" t="s">
        <v>220</v>
      </c>
      <c r="N59" s="79"/>
      <c r="O59" s="80" t="s">
        <v>300</v>
      </c>
      <c r="P59" s="80" t="s">
        <v>342</v>
      </c>
    </row>
    <row r="60" spans="1:16" ht="12.75" customHeight="1" x14ac:dyDescent="0.2">
      <c r="A60" s="32" t="str">
        <f t="shared" si="0"/>
        <v> VSSC 61.19 </v>
      </c>
      <c r="B60" s="15" t="str">
        <f t="shared" si="1"/>
        <v>I</v>
      </c>
      <c r="C60" s="32">
        <f t="shared" si="2"/>
        <v>45731.427000000003</v>
      </c>
      <c r="D60" t="str">
        <f t="shared" si="3"/>
        <v>vis</v>
      </c>
      <c r="E60">
        <f>VLOOKUP(C60,Active!C$21:E$969,3,FALSE)</f>
        <v>140.00873486669389</v>
      </c>
      <c r="F60" s="15" t="s">
        <v>176</v>
      </c>
      <c r="G60" t="str">
        <f t="shared" si="4"/>
        <v>45731.427</v>
      </c>
      <c r="H60" s="32">
        <f t="shared" si="5"/>
        <v>140</v>
      </c>
      <c r="I60" s="78" t="s">
        <v>343</v>
      </c>
      <c r="J60" s="79" t="s">
        <v>344</v>
      </c>
      <c r="K60" s="78">
        <v>140</v>
      </c>
      <c r="L60" s="78" t="s">
        <v>264</v>
      </c>
      <c r="M60" s="79" t="s">
        <v>220</v>
      </c>
      <c r="N60" s="79"/>
      <c r="O60" s="80" t="s">
        <v>265</v>
      </c>
      <c r="P60" s="80" t="s">
        <v>345</v>
      </c>
    </row>
    <row r="61" spans="1:16" ht="12.75" customHeight="1" x14ac:dyDescent="0.2">
      <c r="A61" s="32" t="str">
        <f t="shared" si="0"/>
        <v> BBS 71 </v>
      </c>
      <c r="B61" s="15" t="str">
        <f t="shared" si="1"/>
        <v>I</v>
      </c>
      <c r="C61" s="32">
        <f t="shared" si="2"/>
        <v>45750.264999999999</v>
      </c>
      <c r="D61" t="str">
        <f t="shared" si="3"/>
        <v>vis</v>
      </c>
      <c r="E61">
        <f>VLOOKUP(C61,Active!C$21:E$969,3,FALSE)</f>
        <v>161.98942131332899</v>
      </c>
      <c r="F61" s="15" t="s">
        <v>176</v>
      </c>
      <c r="G61" t="str">
        <f t="shared" si="4"/>
        <v>45750.265</v>
      </c>
      <c r="H61" s="32">
        <f t="shared" si="5"/>
        <v>162</v>
      </c>
      <c r="I61" s="78" t="s">
        <v>346</v>
      </c>
      <c r="J61" s="79" t="s">
        <v>347</v>
      </c>
      <c r="K61" s="78">
        <v>162</v>
      </c>
      <c r="L61" s="78" t="s">
        <v>337</v>
      </c>
      <c r="M61" s="79" t="s">
        <v>220</v>
      </c>
      <c r="N61" s="79"/>
      <c r="O61" s="80" t="s">
        <v>296</v>
      </c>
      <c r="P61" s="80" t="s">
        <v>342</v>
      </c>
    </row>
    <row r="62" spans="1:16" ht="12.75" customHeight="1" x14ac:dyDescent="0.2">
      <c r="A62" s="32" t="str">
        <f t="shared" si="0"/>
        <v> BRNO 27 </v>
      </c>
      <c r="B62" s="15" t="str">
        <f t="shared" si="1"/>
        <v>I</v>
      </c>
      <c r="C62" s="32">
        <f t="shared" si="2"/>
        <v>45940.527999999998</v>
      </c>
      <c r="D62" t="str">
        <f t="shared" si="3"/>
        <v>vis</v>
      </c>
      <c r="E62">
        <f>VLOOKUP(C62,Active!C$21:E$969,3,FALSE)</f>
        <v>383.99342096281299</v>
      </c>
      <c r="F62" s="15" t="s">
        <v>176</v>
      </c>
      <c r="G62" t="str">
        <f t="shared" si="4"/>
        <v>45940.528</v>
      </c>
      <c r="H62" s="32">
        <f t="shared" si="5"/>
        <v>384</v>
      </c>
      <c r="I62" s="78" t="s">
        <v>348</v>
      </c>
      <c r="J62" s="79" t="s">
        <v>349</v>
      </c>
      <c r="K62" s="78">
        <v>384</v>
      </c>
      <c r="L62" s="78" t="s">
        <v>350</v>
      </c>
      <c r="M62" s="79" t="s">
        <v>220</v>
      </c>
      <c r="N62" s="79"/>
      <c r="O62" s="80" t="s">
        <v>351</v>
      </c>
      <c r="P62" s="80" t="s">
        <v>76</v>
      </c>
    </row>
    <row r="63" spans="1:16" ht="12.75" customHeight="1" x14ac:dyDescent="0.2">
      <c r="A63" s="32" t="str">
        <f t="shared" si="0"/>
        <v> BRNO 27 </v>
      </c>
      <c r="B63" s="15" t="str">
        <f t="shared" si="1"/>
        <v>I</v>
      </c>
      <c r="C63" s="32">
        <f t="shared" si="2"/>
        <v>45940.534</v>
      </c>
      <c r="D63" t="str">
        <f t="shared" si="3"/>
        <v>vis</v>
      </c>
      <c r="E63">
        <f>VLOOKUP(C63,Active!C$21:E$969,3,FALSE)</f>
        <v>384.0004219246299</v>
      </c>
      <c r="F63" s="15" t="s">
        <v>176</v>
      </c>
      <c r="G63" t="str">
        <f t="shared" si="4"/>
        <v>45940.534</v>
      </c>
      <c r="H63" s="32">
        <f t="shared" si="5"/>
        <v>384</v>
      </c>
      <c r="I63" s="78" t="s">
        <v>352</v>
      </c>
      <c r="J63" s="79" t="s">
        <v>353</v>
      </c>
      <c r="K63" s="78">
        <v>384</v>
      </c>
      <c r="L63" s="78" t="s">
        <v>322</v>
      </c>
      <c r="M63" s="79" t="s">
        <v>220</v>
      </c>
      <c r="N63" s="79"/>
      <c r="O63" s="80" t="s">
        <v>354</v>
      </c>
      <c r="P63" s="80" t="s">
        <v>76</v>
      </c>
    </row>
    <row r="64" spans="1:16" ht="12.75" customHeight="1" x14ac:dyDescent="0.2">
      <c r="A64" s="32" t="str">
        <f t="shared" si="0"/>
        <v> BBS 74 </v>
      </c>
      <c r="B64" s="15" t="str">
        <f t="shared" si="1"/>
        <v>I</v>
      </c>
      <c r="C64" s="32">
        <f t="shared" si="2"/>
        <v>45940.544999999998</v>
      </c>
      <c r="D64" t="str">
        <f t="shared" si="3"/>
        <v>vis</v>
      </c>
      <c r="E64">
        <f>VLOOKUP(C64,Active!C$21:E$969,3,FALSE)</f>
        <v>384.01325702128997</v>
      </c>
      <c r="F64" s="15" t="s">
        <v>176</v>
      </c>
      <c r="G64" t="str">
        <f t="shared" si="4"/>
        <v>45940.545</v>
      </c>
      <c r="H64" s="32">
        <f t="shared" si="5"/>
        <v>384</v>
      </c>
      <c r="I64" s="78" t="s">
        <v>355</v>
      </c>
      <c r="J64" s="79" t="s">
        <v>356</v>
      </c>
      <c r="K64" s="78">
        <v>384</v>
      </c>
      <c r="L64" s="78" t="s">
        <v>269</v>
      </c>
      <c r="M64" s="79" t="s">
        <v>220</v>
      </c>
      <c r="N64" s="79"/>
      <c r="O64" s="80" t="s">
        <v>293</v>
      </c>
      <c r="P64" s="80" t="s">
        <v>357</v>
      </c>
    </row>
    <row r="65" spans="1:16" ht="12.75" customHeight="1" x14ac:dyDescent="0.2">
      <c r="A65" s="32" t="str">
        <f t="shared" si="0"/>
        <v> BBS 74 </v>
      </c>
      <c r="B65" s="15" t="str">
        <f t="shared" si="1"/>
        <v>I</v>
      </c>
      <c r="C65" s="32">
        <f t="shared" si="2"/>
        <v>45946.540999999997</v>
      </c>
      <c r="D65" t="str">
        <f t="shared" si="3"/>
        <v>vis</v>
      </c>
      <c r="E65">
        <f>VLOOKUP(C65,Active!C$21:E$969,3,FALSE)</f>
        <v>391.00955152888281</v>
      </c>
      <c r="F65" s="15" t="s">
        <v>176</v>
      </c>
      <c r="G65" t="str">
        <f t="shared" si="4"/>
        <v>45946.541</v>
      </c>
      <c r="H65" s="32">
        <f t="shared" si="5"/>
        <v>391</v>
      </c>
      <c r="I65" s="78" t="s">
        <v>358</v>
      </c>
      <c r="J65" s="79" t="s">
        <v>359</v>
      </c>
      <c r="K65" s="78">
        <v>391</v>
      </c>
      <c r="L65" s="78" t="s">
        <v>360</v>
      </c>
      <c r="M65" s="79" t="s">
        <v>220</v>
      </c>
      <c r="N65" s="79"/>
      <c r="O65" s="80" t="s">
        <v>293</v>
      </c>
      <c r="P65" s="80" t="s">
        <v>357</v>
      </c>
    </row>
    <row r="66" spans="1:16" ht="12.75" customHeight="1" x14ac:dyDescent="0.2">
      <c r="A66" s="32" t="str">
        <f t="shared" si="0"/>
        <v> BRNO 27 </v>
      </c>
      <c r="B66" s="15" t="str">
        <f t="shared" si="1"/>
        <v>I</v>
      </c>
      <c r="C66" s="32">
        <f t="shared" si="2"/>
        <v>45994.523000000001</v>
      </c>
      <c r="D66" t="str">
        <f t="shared" si="3"/>
        <v>vis</v>
      </c>
      <c r="E66">
        <f>VLOOKUP(C66,Active!C$21:E$969,3,FALSE)</f>
        <v>446.99624316720661</v>
      </c>
      <c r="F66" s="15" t="s">
        <v>176</v>
      </c>
      <c r="G66" t="str">
        <f t="shared" si="4"/>
        <v>45994.523</v>
      </c>
      <c r="H66" s="32">
        <f t="shared" si="5"/>
        <v>447</v>
      </c>
      <c r="I66" s="78" t="s">
        <v>361</v>
      </c>
      <c r="J66" s="79" t="s">
        <v>362</v>
      </c>
      <c r="K66" s="78">
        <v>447</v>
      </c>
      <c r="L66" s="78" t="s">
        <v>363</v>
      </c>
      <c r="M66" s="79" t="s">
        <v>220</v>
      </c>
      <c r="N66" s="79"/>
      <c r="O66" s="80" t="s">
        <v>364</v>
      </c>
      <c r="P66" s="80" t="s">
        <v>76</v>
      </c>
    </row>
    <row r="67" spans="1:16" ht="12.75" customHeight="1" x14ac:dyDescent="0.2">
      <c r="A67" s="32" t="str">
        <f t="shared" si="0"/>
        <v> BRNO 27 </v>
      </c>
      <c r="B67" s="15" t="str">
        <f t="shared" si="1"/>
        <v>I</v>
      </c>
      <c r="C67" s="32">
        <f t="shared" si="2"/>
        <v>46036.517</v>
      </c>
      <c r="D67" t="str">
        <f t="shared" si="3"/>
        <v>vis</v>
      </c>
      <c r="E67">
        <f>VLOOKUP(C67,Active!C$21:E$969,3,FALSE)</f>
        <v>495.9959749136849</v>
      </c>
      <c r="F67" s="15" t="s">
        <v>176</v>
      </c>
      <c r="G67" t="str">
        <f t="shared" si="4"/>
        <v>46036.517</v>
      </c>
      <c r="H67" s="32">
        <f t="shared" si="5"/>
        <v>496</v>
      </c>
      <c r="I67" s="78" t="s">
        <v>365</v>
      </c>
      <c r="J67" s="79" t="s">
        <v>366</v>
      </c>
      <c r="K67" s="78">
        <v>496</v>
      </c>
      <c r="L67" s="78" t="s">
        <v>363</v>
      </c>
      <c r="M67" s="79" t="s">
        <v>220</v>
      </c>
      <c r="N67" s="79"/>
      <c r="O67" s="80" t="s">
        <v>364</v>
      </c>
      <c r="P67" s="80" t="s">
        <v>76</v>
      </c>
    </row>
    <row r="68" spans="1:16" ht="12.75" customHeight="1" x14ac:dyDescent="0.2">
      <c r="A68" s="32" t="str">
        <f t="shared" si="0"/>
        <v> BRNO 27 </v>
      </c>
      <c r="B68" s="15" t="str">
        <f t="shared" si="1"/>
        <v>I</v>
      </c>
      <c r="C68" s="32">
        <f t="shared" si="2"/>
        <v>46036.525999999998</v>
      </c>
      <c r="D68" t="str">
        <f t="shared" si="3"/>
        <v>vis</v>
      </c>
      <c r="E68">
        <f>VLOOKUP(C68,Active!C$21:E$969,3,FALSE)</f>
        <v>496.00647635640604</v>
      </c>
      <c r="F68" s="15" t="s">
        <v>176</v>
      </c>
      <c r="G68" t="str">
        <f t="shared" si="4"/>
        <v>46036.526</v>
      </c>
      <c r="H68" s="32">
        <f t="shared" si="5"/>
        <v>496</v>
      </c>
      <c r="I68" s="78" t="s">
        <v>367</v>
      </c>
      <c r="J68" s="79" t="s">
        <v>368</v>
      </c>
      <c r="K68" s="78">
        <v>496</v>
      </c>
      <c r="L68" s="78" t="s">
        <v>369</v>
      </c>
      <c r="M68" s="79" t="s">
        <v>220</v>
      </c>
      <c r="N68" s="79"/>
      <c r="O68" s="80" t="s">
        <v>370</v>
      </c>
      <c r="P68" s="80" t="s">
        <v>76</v>
      </c>
    </row>
    <row r="69" spans="1:16" ht="12.75" customHeight="1" x14ac:dyDescent="0.2">
      <c r="A69" s="32" t="str">
        <f t="shared" si="0"/>
        <v> VSSC 61/73 </v>
      </c>
      <c r="B69" s="15" t="str">
        <f t="shared" si="1"/>
        <v>I</v>
      </c>
      <c r="C69" s="32">
        <f t="shared" si="2"/>
        <v>46061.379000000001</v>
      </c>
      <c r="D69" t="str">
        <f t="shared" si="3"/>
        <v>vis</v>
      </c>
      <c r="E69">
        <f>VLOOKUP(C69,Active!C$21:E$969,3,FALSE)</f>
        <v>525.00562702305842</v>
      </c>
      <c r="F69" s="15" t="s">
        <v>176</v>
      </c>
      <c r="G69" t="str">
        <f t="shared" si="4"/>
        <v>46061.379</v>
      </c>
      <c r="H69" s="32">
        <f t="shared" si="5"/>
        <v>525</v>
      </c>
      <c r="I69" s="78" t="s">
        <v>371</v>
      </c>
      <c r="J69" s="79" t="s">
        <v>372</v>
      </c>
      <c r="K69" s="78">
        <v>525</v>
      </c>
      <c r="L69" s="78" t="s">
        <v>193</v>
      </c>
      <c r="M69" s="79" t="s">
        <v>220</v>
      </c>
      <c r="N69" s="79"/>
      <c r="O69" s="80" t="s">
        <v>265</v>
      </c>
      <c r="P69" s="80" t="s">
        <v>373</v>
      </c>
    </row>
    <row r="70" spans="1:16" ht="12.75" customHeight="1" x14ac:dyDescent="0.2">
      <c r="A70" s="32" t="str">
        <f t="shared" si="0"/>
        <v> BBS 76 </v>
      </c>
      <c r="B70" s="15" t="str">
        <f t="shared" si="1"/>
        <v>I</v>
      </c>
      <c r="C70" s="32">
        <f t="shared" si="2"/>
        <v>46091.38</v>
      </c>
      <c r="D70" t="str">
        <f t="shared" si="3"/>
        <v>vis</v>
      </c>
      <c r="E70">
        <f>VLOOKUP(C70,Active!C$21:E$969,3,FALSE)</f>
        <v>560.01160292737734</v>
      </c>
      <c r="F70" s="15" t="s">
        <v>176</v>
      </c>
      <c r="G70" t="str">
        <f t="shared" si="4"/>
        <v>46091.380</v>
      </c>
      <c r="H70" s="32">
        <f t="shared" si="5"/>
        <v>560</v>
      </c>
      <c r="I70" s="78" t="s">
        <v>374</v>
      </c>
      <c r="J70" s="79" t="s">
        <v>375</v>
      </c>
      <c r="K70" s="78">
        <v>560</v>
      </c>
      <c r="L70" s="78" t="s">
        <v>319</v>
      </c>
      <c r="M70" s="79" t="s">
        <v>220</v>
      </c>
      <c r="N70" s="79"/>
      <c r="O70" s="80" t="s">
        <v>376</v>
      </c>
      <c r="P70" s="80" t="s">
        <v>377</v>
      </c>
    </row>
    <row r="71" spans="1:16" ht="12.75" customHeight="1" x14ac:dyDescent="0.2">
      <c r="A71" s="32" t="str">
        <f t="shared" si="0"/>
        <v> VSSC 68.33 </v>
      </c>
      <c r="B71" s="15" t="str">
        <f t="shared" si="1"/>
        <v>I</v>
      </c>
      <c r="C71" s="32">
        <f t="shared" si="2"/>
        <v>46109.381000000001</v>
      </c>
      <c r="D71" t="str">
        <f t="shared" si="3"/>
        <v>vis</v>
      </c>
      <c r="E71">
        <f>VLOOKUP(C71,Active!C$21:E$969,3,FALSE)</f>
        <v>581.01565520076338</v>
      </c>
      <c r="F71" s="15" t="s">
        <v>176</v>
      </c>
      <c r="G71" t="str">
        <f t="shared" si="4"/>
        <v>46109.381</v>
      </c>
      <c r="H71" s="32">
        <f t="shared" si="5"/>
        <v>581</v>
      </c>
      <c r="I71" s="78" t="s">
        <v>378</v>
      </c>
      <c r="J71" s="79" t="s">
        <v>379</v>
      </c>
      <c r="K71" s="78">
        <v>581</v>
      </c>
      <c r="L71" s="78" t="s">
        <v>380</v>
      </c>
      <c r="M71" s="79" t="s">
        <v>220</v>
      </c>
      <c r="N71" s="79"/>
      <c r="O71" s="80" t="s">
        <v>265</v>
      </c>
      <c r="P71" s="80" t="s">
        <v>381</v>
      </c>
    </row>
    <row r="72" spans="1:16" ht="12.75" customHeight="1" x14ac:dyDescent="0.2">
      <c r="A72" s="32" t="str">
        <f t="shared" si="0"/>
        <v> BBS 76 </v>
      </c>
      <c r="B72" s="15" t="str">
        <f t="shared" si="1"/>
        <v>I</v>
      </c>
      <c r="C72" s="32">
        <f t="shared" si="2"/>
        <v>46115.37</v>
      </c>
      <c r="D72" t="str">
        <f t="shared" si="3"/>
        <v>vis</v>
      </c>
      <c r="E72">
        <f>VLOOKUP(C72,Active!C$21:E$969,3,FALSE)</f>
        <v>588.00378191957407</v>
      </c>
      <c r="F72" s="15" t="str">
        <f>LEFT(M72,1)</f>
        <v>V</v>
      </c>
      <c r="G72" t="str">
        <f t="shared" si="4"/>
        <v>46115.370</v>
      </c>
      <c r="H72" s="32">
        <f t="shared" si="5"/>
        <v>588</v>
      </c>
      <c r="I72" s="78" t="s">
        <v>382</v>
      </c>
      <c r="J72" s="79" t="s">
        <v>383</v>
      </c>
      <c r="K72" s="78">
        <v>588</v>
      </c>
      <c r="L72" s="78" t="s">
        <v>277</v>
      </c>
      <c r="M72" s="79" t="s">
        <v>220</v>
      </c>
      <c r="N72" s="79"/>
      <c r="O72" s="80" t="s">
        <v>384</v>
      </c>
      <c r="P72" s="80" t="s">
        <v>377</v>
      </c>
    </row>
    <row r="73" spans="1:16" ht="12.75" customHeight="1" x14ac:dyDescent="0.2">
      <c r="A73" s="32" t="str">
        <f t="shared" si="0"/>
        <v> VSSC 68.33 </v>
      </c>
      <c r="B73" s="15" t="str">
        <f t="shared" si="1"/>
        <v>I</v>
      </c>
      <c r="C73" s="32">
        <f t="shared" si="2"/>
        <v>46121.358999999997</v>
      </c>
      <c r="D73" t="str">
        <f t="shared" si="3"/>
        <v>vis</v>
      </c>
      <c r="E73">
        <f>VLOOKUP(C73,Active!C$21:E$969,3,FALSE)</f>
        <v>594.99190863837623</v>
      </c>
      <c r="F73" s="15" t="str">
        <f>LEFT(M73,1)</f>
        <v>V</v>
      </c>
      <c r="G73" t="str">
        <f t="shared" si="4"/>
        <v>46121.359</v>
      </c>
      <c r="H73" s="32">
        <f t="shared" si="5"/>
        <v>595</v>
      </c>
      <c r="I73" s="78" t="s">
        <v>385</v>
      </c>
      <c r="J73" s="79" t="s">
        <v>386</v>
      </c>
      <c r="K73" s="78">
        <v>595</v>
      </c>
      <c r="L73" s="78" t="s">
        <v>210</v>
      </c>
      <c r="M73" s="79" t="s">
        <v>220</v>
      </c>
      <c r="N73" s="79"/>
      <c r="O73" s="80" t="s">
        <v>265</v>
      </c>
      <c r="P73" s="80" t="s">
        <v>381</v>
      </c>
    </row>
    <row r="74" spans="1:16" ht="12.75" customHeight="1" x14ac:dyDescent="0.2">
      <c r="A74" s="32" t="str">
        <f t="shared" si="0"/>
        <v> BBS 76 </v>
      </c>
      <c r="B74" s="15" t="str">
        <f t="shared" si="1"/>
        <v>I</v>
      </c>
      <c r="C74" s="32">
        <f t="shared" si="2"/>
        <v>46121.38</v>
      </c>
      <c r="D74" t="str">
        <f t="shared" si="3"/>
        <v>vis</v>
      </c>
      <c r="E74">
        <f>VLOOKUP(C74,Active!C$21:E$969,3,FALSE)</f>
        <v>595.01641200473114</v>
      </c>
      <c r="F74" s="15" t="str">
        <f>LEFT(M74,1)</f>
        <v>V</v>
      </c>
      <c r="G74" t="str">
        <f t="shared" si="4"/>
        <v>46121.380</v>
      </c>
      <c r="H74" s="32">
        <f t="shared" si="5"/>
        <v>595</v>
      </c>
      <c r="I74" s="78" t="s">
        <v>387</v>
      </c>
      <c r="J74" s="79" t="s">
        <v>388</v>
      </c>
      <c r="K74" s="78">
        <v>595</v>
      </c>
      <c r="L74" s="78" t="s">
        <v>389</v>
      </c>
      <c r="M74" s="79" t="s">
        <v>220</v>
      </c>
      <c r="N74" s="79"/>
      <c r="O74" s="80" t="s">
        <v>293</v>
      </c>
      <c r="P74" s="80" t="s">
        <v>377</v>
      </c>
    </row>
    <row r="75" spans="1:16" ht="12.75" customHeight="1" x14ac:dyDescent="0.2">
      <c r="A75" s="32" t="str">
        <f t="shared" ref="A75:A138" si="6">P75</f>
        <v> BBS 77 </v>
      </c>
      <c r="B75" s="15" t="str">
        <f t="shared" ref="B75:B138" si="7">IF(H75=INT(H75),"I","II")</f>
        <v>I</v>
      </c>
      <c r="C75" s="32">
        <f t="shared" ref="C75:C138" si="8">1*G75</f>
        <v>46270.5</v>
      </c>
      <c r="D75" t="str">
        <f t="shared" ref="D75:D138" si="9">VLOOKUP(F75,I$1:J$5,2,FALSE)</f>
        <v>vis</v>
      </c>
      <c r="E75">
        <f>VLOOKUP(C75,Active!C$21:E$969,3,FALSE)</f>
        <v>769.01364965856715</v>
      </c>
      <c r="F75" s="15" t="str">
        <f>LEFT(M75,1)</f>
        <v>V</v>
      </c>
      <c r="G75" t="str">
        <f t="shared" ref="G75:G138" si="10">MID(I75,3,LEN(I75)-3)</f>
        <v>46270.500</v>
      </c>
      <c r="H75" s="32">
        <f t="shared" ref="H75:H138" si="11">1*K75</f>
        <v>769</v>
      </c>
      <c r="I75" s="78" t="s">
        <v>390</v>
      </c>
      <c r="J75" s="79" t="s">
        <v>391</v>
      </c>
      <c r="K75" s="78">
        <v>769</v>
      </c>
      <c r="L75" s="78" t="s">
        <v>308</v>
      </c>
      <c r="M75" s="79" t="s">
        <v>220</v>
      </c>
      <c r="N75" s="79"/>
      <c r="O75" s="80" t="s">
        <v>293</v>
      </c>
      <c r="P75" s="80" t="s">
        <v>392</v>
      </c>
    </row>
    <row r="76" spans="1:16" ht="12.75" customHeight="1" x14ac:dyDescent="0.2">
      <c r="A76" s="32" t="str">
        <f t="shared" si="6"/>
        <v> BRNO 27 </v>
      </c>
      <c r="B76" s="15" t="str">
        <f t="shared" si="7"/>
        <v>I</v>
      </c>
      <c r="C76" s="32">
        <f t="shared" si="8"/>
        <v>46294.472999999998</v>
      </c>
      <c r="D76" t="str">
        <f t="shared" si="9"/>
        <v>vis</v>
      </c>
      <c r="E76">
        <f>VLOOKUP(C76,Active!C$21:E$969,3,FALSE)</f>
        <v>796.98599259227842</v>
      </c>
      <c r="F76" s="15" t="str">
        <f>LEFT(M76,1)</f>
        <v>V</v>
      </c>
      <c r="G76" t="str">
        <f t="shared" si="10"/>
        <v>46294.473</v>
      </c>
      <c r="H76" s="32">
        <f t="shared" si="11"/>
        <v>797</v>
      </c>
      <c r="I76" s="78" t="s">
        <v>393</v>
      </c>
      <c r="J76" s="79" t="s">
        <v>394</v>
      </c>
      <c r="K76" s="78">
        <v>797</v>
      </c>
      <c r="L76" s="78" t="s">
        <v>280</v>
      </c>
      <c r="M76" s="79" t="s">
        <v>220</v>
      </c>
      <c r="N76" s="79"/>
      <c r="O76" s="80" t="s">
        <v>334</v>
      </c>
      <c r="P76" s="80" t="s">
        <v>76</v>
      </c>
    </row>
    <row r="77" spans="1:16" ht="12.75" customHeight="1" x14ac:dyDescent="0.2">
      <c r="A77" s="32" t="str">
        <f t="shared" si="6"/>
        <v> BRNO 27 </v>
      </c>
      <c r="B77" s="15" t="str">
        <f t="shared" si="7"/>
        <v>I</v>
      </c>
      <c r="C77" s="32">
        <f t="shared" si="8"/>
        <v>46294.483999999997</v>
      </c>
      <c r="D77" t="str">
        <f t="shared" si="9"/>
        <v>vis</v>
      </c>
      <c r="E77">
        <f>VLOOKUP(C77,Active!C$21:E$969,3,FALSE)</f>
        <v>796.99882768893849</v>
      </c>
      <c r="F77" s="15" t="s">
        <v>176</v>
      </c>
      <c r="G77" t="str">
        <f t="shared" si="10"/>
        <v>46294.484</v>
      </c>
      <c r="H77" s="32">
        <f t="shared" si="11"/>
        <v>797</v>
      </c>
      <c r="I77" s="78" t="s">
        <v>395</v>
      </c>
      <c r="J77" s="79" t="s">
        <v>396</v>
      </c>
      <c r="K77" s="78">
        <v>797</v>
      </c>
      <c r="L77" s="78" t="s">
        <v>216</v>
      </c>
      <c r="M77" s="79" t="s">
        <v>220</v>
      </c>
      <c r="N77" s="79"/>
      <c r="O77" s="80" t="s">
        <v>397</v>
      </c>
      <c r="P77" s="80" t="s">
        <v>76</v>
      </c>
    </row>
    <row r="78" spans="1:16" ht="12.75" customHeight="1" x14ac:dyDescent="0.2">
      <c r="A78" s="32" t="str">
        <f t="shared" si="6"/>
        <v> BBS 79 </v>
      </c>
      <c r="B78" s="15" t="str">
        <f t="shared" si="7"/>
        <v>I</v>
      </c>
      <c r="C78" s="32">
        <f t="shared" si="8"/>
        <v>46349.353000000003</v>
      </c>
      <c r="D78" t="str">
        <f t="shared" si="9"/>
        <v>vis</v>
      </c>
      <c r="E78">
        <f>VLOOKUP(C78,Active!C$21:E$969,3,FALSE)</f>
        <v>861.02145666445631</v>
      </c>
      <c r="F78" s="15" t="s">
        <v>176</v>
      </c>
      <c r="G78" t="str">
        <f t="shared" si="10"/>
        <v>46349.353</v>
      </c>
      <c r="H78" s="32">
        <f t="shared" si="11"/>
        <v>861</v>
      </c>
      <c r="I78" s="78" t="s">
        <v>398</v>
      </c>
      <c r="J78" s="79" t="s">
        <v>399</v>
      </c>
      <c r="K78" s="78">
        <v>861</v>
      </c>
      <c r="L78" s="78" t="s">
        <v>196</v>
      </c>
      <c r="M78" s="79" t="s">
        <v>220</v>
      </c>
      <c r="N78" s="79"/>
      <c r="O78" s="80" t="s">
        <v>293</v>
      </c>
      <c r="P78" s="80" t="s">
        <v>400</v>
      </c>
    </row>
    <row r="79" spans="1:16" ht="12.75" customHeight="1" x14ac:dyDescent="0.2">
      <c r="A79" s="32" t="str">
        <f t="shared" si="6"/>
        <v> BBS 78 </v>
      </c>
      <c r="B79" s="15" t="str">
        <f t="shared" si="7"/>
        <v>I</v>
      </c>
      <c r="C79" s="32">
        <f t="shared" si="8"/>
        <v>46355.34</v>
      </c>
      <c r="D79" t="str">
        <f t="shared" si="9"/>
        <v>vis</v>
      </c>
      <c r="E79">
        <f>VLOOKUP(C79,Active!C$21:E$969,3,FALSE)</f>
        <v>868.00724972931948</v>
      </c>
      <c r="F79" s="15" t="s">
        <v>176</v>
      </c>
      <c r="G79" t="str">
        <f t="shared" si="10"/>
        <v>46355.340</v>
      </c>
      <c r="H79" s="32">
        <f t="shared" si="11"/>
        <v>868</v>
      </c>
      <c r="I79" s="78" t="s">
        <v>401</v>
      </c>
      <c r="J79" s="79" t="s">
        <v>402</v>
      </c>
      <c r="K79" s="78">
        <v>868</v>
      </c>
      <c r="L79" s="78" t="s">
        <v>369</v>
      </c>
      <c r="M79" s="79" t="s">
        <v>220</v>
      </c>
      <c r="N79" s="79"/>
      <c r="O79" s="80" t="s">
        <v>296</v>
      </c>
      <c r="P79" s="80" t="s">
        <v>403</v>
      </c>
    </row>
    <row r="80" spans="1:16" ht="12.75" customHeight="1" x14ac:dyDescent="0.2">
      <c r="A80" s="32" t="str">
        <f t="shared" si="6"/>
        <v> BBS 79 </v>
      </c>
      <c r="B80" s="15" t="str">
        <f t="shared" si="7"/>
        <v>I</v>
      </c>
      <c r="C80" s="32">
        <f t="shared" si="8"/>
        <v>46373.337</v>
      </c>
      <c r="D80" t="str">
        <f t="shared" si="9"/>
        <v>vis</v>
      </c>
      <c r="E80">
        <f>VLOOKUP(C80,Active!C$21:E$969,3,FALSE)</f>
        <v>889.00663469482754</v>
      </c>
      <c r="F80" s="15" t="s">
        <v>176</v>
      </c>
      <c r="G80" t="str">
        <f t="shared" si="10"/>
        <v>46373.337</v>
      </c>
      <c r="H80" s="32">
        <f t="shared" si="11"/>
        <v>889</v>
      </c>
      <c r="I80" s="78" t="s">
        <v>404</v>
      </c>
      <c r="J80" s="79" t="s">
        <v>405</v>
      </c>
      <c r="K80" s="78">
        <v>889</v>
      </c>
      <c r="L80" s="78" t="s">
        <v>369</v>
      </c>
      <c r="M80" s="79" t="s">
        <v>220</v>
      </c>
      <c r="N80" s="79"/>
      <c r="O80" s="80" t="s">
        <v>384</v>
      </c>
      <c r="P80" s="80" t="s">
        <v>400</v>
      </c>
    </row>
    <row r="81" spans="1:16" ht="12.75" customHeight="1" x14ac:dyDescent="0.2">
      <c r="A81" s="32" t="str">
        <f t="shared" si="6"/>
        <v> BBS 79 </v>
      </c>
      <c r="B81" s="15" t="str">
        <f t="shared" si="7"/>
        <v>I</v>
      </c>
      <c r="C81" s="32">
        <f t="shared" si="8"/>
        <v>46403.328999999998</v>
      </c>
      <c r="D81" t="str">
        <f t="shared" si="9"/>
        <v>vis</v>
      </c>
      <c r="E81">
        <f>VLOOKUP(C81,Active!C$21:E$969,3,FALSE)</f>
        <v>924.00210915642538</v>
      </c>
      <c r="F81" s="15" t="s">
        <v>176</v>
      </c>
      <c r="G81" t="str">
        <f t="shared" si="10"/>
        <v>46403.329</v>
      </c>
      <c r="H81" s="32">
        <f t="shared" si="11"/>
        <v>924</v>
      </c>
      <c r="I81" s="78" t="s">
        <v>406</v>
      </c>
      <c r="J81" s="79" t="s">
        <v>407</v>
      </c>
      <c r="K81" s="78">
        <v>924</v>
      </c>
      <c r="L81" s="78" t="s">
        <v>315</v>
      </c>
      <c r="M81" s="79" t="s">
        <v>220</v>
      </c>
      <c r="N81" s="79"/>
      <c r="O81" s="80" t="s">
        <v>293</v>
      </c>
      <c r="P81" s="80" t="s">
        <v>400</v>
      </c>
    </row>
    <row r="82" spans="1:16" ht="12.75" customHeight="1" x14ac:dyDescent="0.2">
      <c r="A82" s="32" t="str">
        <f t="shared" si="6"/>
        <v> VSSC 68.33 </v>
      </c>
      <c r="B82" s="15" t="str">
        <f t="shared" si="7"/>
        <v>I</v>
      </c>
      <c r="C82" s="32">
        <f t="shared" si="8"/>
        <v>46457.31</v>
      </c>
      <c r="D82" t="str">
        <f t="shared" si="9"/>
        <v>vis</v>
      </c>
      <c r="E82">
        <f>VLOOKUP(C82,Active!C$21:E$969,3,FALSE)</f>
        <v>986.98859578324618</v>
      </c>
      <c r="F82" s="15" t="s">
        <v>176</v>
      </c>
      <c r="G82" t="str">
        <f t="shared" si="10"/>
        <v>46457.310</v>
      </c>
      <c r="H82" s="32">
        <f t="shared" si="11"/>
        <v>987</v>
      </c>
      <c r="I82" s="78" t="s">
        <v>408</v>
      </c>
      <c r="J82" s="79" t="s">
        <v>409</v>
      </c>
      <c r="K82" s="78">
        <v>987</v>
      </c>
      <c r="L82" s="78" t="s">
        <v>286</v>
      </c>
      <c r="M82" s="79" t="s">
        <v>220</v>
      </c>
      <c r="N82" s="79"/>
      <c r="O82" s="80" t="s">
        <v>265</v>
      </c>
      <c r="P82" s="80" t="s">
        <v>381</v>
      </c>
    </row>
    <row r="83" spans="1:16" ht="12.75" customHeight="1" x14ac:dyDescent="0.2">
      <c r="A83" s="32" t="str">
        <f t="shared" si="6"/>
        <v> BRNO 28 </v>
      </c>
      <c r="B83" s="15" t="str">
        <f t="shared" si="7"/>
        <v>I</v>
      </c>
      <c r="C83" s="32">
        <f t="shared" si="8"/>
        <v>46672.43</v>
      </c>
      <c r="D83" t="str">
        <f t="shared" si="9"/>
        <v>vis</v>
      </c>
      <c r="E83">
        <f>VLOOKUP(C83,Active!C$21:E$969,3,FALSE)</f>
        <v>1237.9964134072604</v>
      </c>
      <c r="F83" s="15" t="s">
        <v>176</v>
      </c>
      <c r="G83" t="str">
        <f t="shared" si="10"/>
        <v>46672.430</v>
      </c>
      <c r="H83" s="32">
        <f t="shared" si="11"/>
        <v>1238</v>
      </c>
      <c r="I83" s="78" t="s">
        <v>410</v>
      </c>
      <c r="J83" s="79" t="s">
        <v>411</v>
      </c>
      <c r="K83" s="78">
        <v>1238</v>
      </c>
      <c r="L83" s="78" t="s">
        <v>363</v>
      </c>
      <c r="M83" s="79" t="s">
        <v>220</v>
      </c>
      <c r="N83" s="79"/>
      <c r="O83" s="80" t="s">
        <v>351</v>
      </c>
      <c r="P83" s="80" t="s">
        <v>412</v>
      </c>
    </row>
    <row r="84" spans="1:16" ht="12.75" customHeight="1" x14ac:dyDescent="0.2">
      <c r="A84" s="32" t="str">
        <f t="shared" si="6"/>
        <v> VSSC 68.33 </v>
      </c>
      <c r="B84" s="15" t="str">
        <f t="shared" si="7"/>
        <v>I</v>
      </c>
      <c r="C84" s="32">
        <f t="shared" si="8"/>
        <v>46684.438000000002</v>
      </c>
      <c r="D84" t="str">
        <f t="shared" si="9"/>
        <v>vis</v>
      </c>
      <c r="E84">
        <f>VLOOKUP(C84,Active!C$21:E$969,3,FALSE)</f>
        <v>1252.0076716539579</v>
      </c>
      <c r="F84" s="15" t="s">
        <v>176</v>
      </c>
      <c r="G84" t="str">
        <f t="shared" si="10"/>
        <v>46684.438</v>
      </c>
      <c r="H84" s="32">
        <f t="shared" si="11"/>
        <v>1252</v>
      </c>
      <c r="I84" s="78" t="s">
        <v>413</v>
      </c>
      <c r="J84" s="79" t="s">
        <v>414</v>
      </c>
      <c r="K84" s="78">
        <v>1252</v>
      </c>
      <c r="L84" s="78" t="s">
        <v>264</v>
      </c>
      <c r="M84" s="79" t="s">
        <v>220</v>
      </c>
      <c r="N84" s="79"/>
      <c r="O84" s="80" t="s">
        <v>265</v>
      </c>
      <c r="P84" s="80" t="s">
        <v>381</v>
      </c>
    </row>
    <row r="85" spans="1:16" ht="12.75" customHeight="1" x14ac:dyDescent="0.2">
      <c r="A85" s="32" t="str">
        <f t="shared" si="6"/>
        <v> BBS 81 </v>
      </c>
      <c r="B85" s="15" t="str">
        <f t="shared" si="7"/>
        <v>I</v>
      </c>
      <c r="C85" s="32">
        <f t="shared" si="8"/>
        <v>46708.440999999999</v>
      </c>
      <c r="D85" t="str">
        <f t="shared" si="9"/>
        <v>vis</v>
      </c>
      <c r="E85">
        <f>VLOOKUP(C85,Active!C$21:E$969,3,FALSE)</f>
        <v>1280.0150193967452</v>
      </c>
      <c r="F85" s="15" t="s">
        <v>176</v>
      </c>
      <c r="G85" t="str">
        <f t="shared" si="10"/>
        <v>46708.441</v>
      </c>
      <c r="H85" s="32">
        <f t="shared" si="11"/>
        <v>1280</v>
      </c>
      <c r="I85" s="78" t="s">
        <v>415</v>
      </c>
      <c r="J85" s="79" t="s">
        <v>416</v>
      </c>
      <c r="K85" s="78">
        <v>1280</v>
      </c>
      <c r="L85" s="78" t="s">
        <v>380</v>
      </c>
      <c r="M85" s="79" t="s">
        <v>220</v>
      </c>
      <c r="N85" s="79"/>
      <c r="O85" s="80" t="s">
        <v>312</v>
      </c>
      <c r="P85" s="80" t="s">
        <v>417</v>
      </c>
    </row>
    <row r="86" spans="1:16" ht="12.75" customHeight="1" x14ac:dyDescent="0.2">
      <c r="A86" s="32" t="str">
        <f t="shared" si="6"/>
        <v> BBS 82 </v>
      </c>
      <c r="B86" s="15" t="str">
        <f t="shared" si="7"/>
        <v>I</v>
      </c>
      <c r="C86" s="32">
        <f t="shared" si="8"/>
        <v>46762.428999999996</v>
      </c>
      <c r="D86" t="str">
        <f t="shared" si="9"/>
        <v>vis</v>
      </c>
      <c r="E86">
        <f>VLOOKUP(C86,Active!C$21:E$969,3,FALSE)</f>
        <v>1343.009673812348</v>
      </c>
      <c r="F86" s="15" t="s">
        <v>176</v>
      </c>
      <c r="G86" t="str">
        <f t="shared" si="10"/>
        <v>46762.429</v>
      </c>
      <c r="H86" s="32">
        <f t="shared" si="11"/>
        <v>1343</v>
      </c>
      <c r="I86" s="78" t="s">
        <v>418</v>
      </c>
      <c r="J86" s="79" t="s">
        <v>419</v>
      </c>
      <c r="K86" s="78">
        <v>1343</v>
      </c>
      <c r="L86" s="78" t="s">
        <v>360</v>
      </c>
      <c r="M86" s="79" t="s">
        <v>220</v>
      </c>
      <c r="N86" s="79"/>
      <c r="O86" s="80" t="s">
        <v>312</v>
      </c>
      <c r="P86" s="80" t="s">
        <v>420</v>
      </c>
    </row>
    <row r="87" spans="1:16" ht="12.75" customHeight="1" x14ac:dyDescent="0.2">
      <c r="A87" s="32" t="str">
        <f t="shared" si="6"/>
        <v> BBS 83 </v>
      </c>
      <c r="B87" s="15" t="str">
        <f t="shared" si="7"/>
        <v>I</v>
      </c>
      <c r="C87" s="32">
        <f t="shared" si="8"/>
        <v>46817.271999999997</v>
      </c>
      <c r="D87" t="str">
        <f t="shared" si="9"/>
        <v>vis</v>
      </c>
      <c r="E87">
        <f>VLOOKUP(C87,Active!C$21:E$969,3,FALSE)</f>
        <v>1407.0019652866592</v>
      </c>
      <c r="F87" s="15" t="s">
        <v>176</v>
      </c>
      <c r="G87" t="str">
        <f t="shared" si="10"/>
        <v>46817.272</v>
      </c>
      <c r="H87" s="32">
        <f t="shared" si="11"/>
        <v>1407</v>
      </c>
      <c r="I87" s="78" t="s">
        <v>421</v>
      </c>
      <c r="J87" s="79" t="s">
        <v>422</v>
      </c>
      <c r="K87" s="78">
        <v>1407</v>
      </c>
      <c r="L87" s="78" t="s">
        <v>315</v>
      </c>
      <c r="M87" s="79" t="s">
        <v>220</v>
      </c>
      <c r="N87" s="79"/>
      <c r="O87" s="80" t="s">
        <v>312</v>
      </c>
      <c r="P87" s="80" t="s">
        <v>423</v>
      </c>
    </row>
    <row r="88" spans="1:16" ht="12.75" customHeight="1" x14ac:dyDescent="0.2">
      <c r="A88" s="32" t="str">
        <f t="shared" si="6"/>
        <v> BRNO 30 </v>
      </c>
      <c r="B88" s="15" t="str">
        <f t="shared" si="7"/>
        <v>I</v>
      </c>
      <c r="C88" s="32">
        <f t="shared" si="8"/>
        <v>47025.517</v>
      </c>
      <c r="D88" t="str">
        <f t="shared" si="9"/>
        <v>vis</v>
      </c>
      <c r="E88">
        <f>VLOOKUP(C88,Active!C$21:E$969,3,FALSE)</f>
        <v>1649.9878474971133</v>
      </c>
      <c r="F88" s="15" t="s">
        <v>176</v>
      </c>
      <c r="G88" t="str">
        <f t="shared" si="10"/>
        <v>47025.517</v>
      </c>
      <c r="H88" s="32">
        <f t="shared" si="11"/>
        <v>1650</v>
      </c>
      <c r="I88" s="78" t="s">
        <v>424</v>
      </c>
      <c r="J88" s="79" t="s">
        <v>425</v>
      </c>
      <c r="K88" s="78">
        <v>1650</v>
      </c>
      <c r="L88" s="78" t="s">
        <v>286</v>
      </c>
      <c r="M88" s="79" t="s">
        <v>220</v>
      </c>
      <c r="N88" s="79"/>
      <c r="O88" s="80" t="s">
        <v>426</v>
      </c>
      <c r="P88" s="80" t="s">
        <v>427</v>
      </c>
    </row>
    <row r="89" spans="1:16" ht="12.75" customHeight="1" x14ac:dyDescent="0.2">
      <c r="A89" s="32" t="str">
        <f t="shared" si="6"/>
        <v> BRNO 30 </v>
      </c>
      <c r="B89" s="15" t="str">
        <f t="shared" si="7"/>
        <v>I</v>
      </c>
      <c r="C89" s="32">
        <f t="shared" si="8"/>
        <v>47025.521999999997</v>
      </c>
      <c r="D89" t="str">
        <f t="shared" si="9"/>
        <v>vis</v>
      </c>
      <c r="E89">
        <f>VLOOKUP(C89,Active!C$21:E$969,3,FALSE)</f>
        <v>1649.9936816319566</v>
      </c>
      <c r="F89" s="15" t="s">
        <v>176</v>
      </c>
      <c r="G89" t="str">
        <f t="shared" si="10"/>
        <v>47025.522</v>
      </c>
      <c r="H89" s="32">
        <f t="shared" si="11"/>
        <v>1650</v>
      </c>
      <c r="I89" s="78" t="s">
        <v>428</v>
      </c>
      <c r="J89" s="79" t="s">
        <v>429</v>
      </c>
      <c r="K89" s="78">
        <v>1650</v>
      </c>
      <c r="L89" s="78" t="s">
        <v>179</v>
      </c>
      <c r="M89" s="79" t="s">
        <v>220</v>
      </c>
      <c r="N89" s="79"/>
      <c r="O89" s="80" t="s">
        <v>430</v>
      </c>
      <c r="P89" s="80" t="s">
        <v>427</v>
      </c>
    </row>
    <row r="90" spans="1:16" ht="12.75" customHeight="1" x14ac:dyDescent="0.2">
      <c r="A90" s="32" t="str">
        <f t="shared" si="6"/>
        <v> BRNO 30 </v>
      </c>
      <c r="B90" s="15" t="str">
        <f t="shared" si="7"/>
        <v>I</v>
      </c>
      <c r="C90" s="32">
        <f t="shared" si="8"/>
        <v>47031.525999999998</v>
      </c>
      <c r="D90" t="str">
        <f t="shared" si="9"/>
        <v>vis</v>
      </c>
      <c r="E90">
        <f>VLOOKUP(C90,Active!C$21:E$969,3,FALSE)</f>
        <v>1656.9993107553053</v>
      </c>
      <c r="F90" s="15" t="s">
        <v>176</v>
      </c>
      <c r="G90" t="str">
        <f t="shared" si="10"/>
        <v>47031.526</v>
      </c>
      <c r="H90" s="32">
        <f t="shared" si="11"/>
        <v>1657</v>
      </c>
      <c r="I90" s="78" t="s">
        <v>431</v>
      </c>
      <c r="J90" s="79" t="s">
        <v>432</v>
      </c>
      <c r="K90" s="78">
        <v>1657</v>
      </c>
      <c r="L90" s="78" t="s">
        <v>216</v>
      </c>
      <c r="M90" s="79" t="s">
        <v>220</v>
      </c>
      <c r="N90" s="79"/>
      <c r="O90" s="80" t="s">
        <v>433</v>
      </c>
      <c r="P90" s="80" t="s">
        <v>427</v>
      </c>
    </row>
    <row r="91" spans="1:16" ht="12.75" customHeight="1" x14ac:dyDescent="0.2">
      <c r="A91" s="32" t="str">
        <f t="shared" si="6"/>
        <v> BRNO 30 </v>
      </c>
      <c r="B91" s="15" t="str">
        <f t="shared" si="7"/>
        <v>I</v>
      </c>
      <c r="C91" s="32">
        <f t="shared" si="8"/>
        <v>47031.527000000002</v>
      </c>
      <c r="D91" t="str">
        <f t="shared" si="9"/>
        <v>vis</v>
      </c>
      <c r="E91">
        <f>VLOOKUP(C91,Active!C$21:E$969,3,FALSE)</f>
        <v>1657.000477582279</v>
      </c>
      <c r="F91" s="15" t="s">
        <v>176</v>
      </c>
      <c r="G91" t="str">
        <f t="shared" si="10"/>
        <v>47031.527</v>
      </c>
      <c r="H91" s="32">
        <f t="shared" si="11"/>
        <v>1657</v>
      </c>
      <c r="I91" s="78" t="s">
        <v>434</v>
      </c>
      <c r="J91" s="79" t="s">
        <v>435</v>
      </c>
      <c r="K91" s="78">
        <v>1657</v>
      </c>
      <c r="L91" s="78" t="s">
        <v>322</v>
      </c>
      <c r="M91" s="79" t="s">
        <v>220</v>
      </c>
      <c r="N91" s="79"/>
      <c r="O91" s="80" t="s">
        <v>436</v>
      </c>
      <c r="P91" s="80" t="s">
        <v>427</v>
      </c>
    </row>
    <row r="92" spans="1:16" ht="12.75" customHeight="1" x14ac:dyDescent="0.2">
      <c r="A92" s="32" t="str">
        <f t="shared" si="6"/>
        <v> BRNO 30 </v>
      </c>
      <c r="B92" s="15" t="str">
        <f t="shared" si="7"/>
        <v>I</v>
      </c>
      <c r="C92" s="32">
        <f t="shared" si="8"/>
        <v>47031.536</v>
      </c>
      <c r="D92" t="str">
        <f t="shared" si="9"/>
        <v>vis</v>
      </c>
      <c r="E92">
        <f>VLOOKUP(C92,Active!C$21:E$969,3,FALSE)</f>
        <v>1657.0109790250001</v>
      </c>
      <c r="F92" s="15" t="s">
        <v>176</v>
      </c>
      <c r="G92" t="str">
        <f t="shared" si="10"/>
        <v>47031.536</v>
      </c>
      <c r="H92" s="32">
        <f t="shared" si="11"/>
        <v>1657</v>
      </c>
      <c r="I92" s="78" t="s">
        <v>437</v>
      </c>
      <c r="J92" s="79" t="s">
        <v>438</v>
      </c>
      <c r="K92" s="78">
        <v>1657</v>
      </c>
      <c r="L92" s="78" t="s">
        <v>439</v>
      </c>
      <c r="M92" s="79" t="s">
        <v>220</v>
      </c>
      <c r="N92" s="79"/>
      <c r="O92" s="80" t="s">
        <v>440</v>
      </c>
      <c r="P92" s="80" t="s">
        <v>427</v>
      </c>
    </row>
    <row r="93" spans="1:16" ht="12.75" customHeight="1" x14ac:dyDescent="0.2">
      <c r="A93" s="32" t="str">
        <f t="shared" si="6"/>
        <v> BBS 86 </v>
      </c>
      <c r="B93" s="15" t="str">
        <f t="shared" si="7"/>
        <v>I</v>
      </c>
      <c r="C93" s="32">
        <f t="shared" si="8"/>
        <v>47068.385000000002</v>
      </c>
      <c r="D93" t="str">
        <f t="shared" si="9"/>
        <v>vis</v>
      </c>
      <c r="E93">
        <f>VLOOKUP(C93,Active!C$21:E$969,3,FALSE)</f>
        <v>1700.0073860147161</v>
      </c>
      <c r="F93" s="15" t="s">
        <v>176</v>
      </c>
      <c r="G93" t="str">
        <f t="shared" si="10"/>
        <v>47068.385</v>
      </c>
      <c r="H93" s="32">
        <f t="shared" si="11"/>
        <v>1700</v>
      </c>
      <c r="I93" s="78" t="s">
        <v>441</v>
      </c>
      <c r="J93" s="79" t="s">
        <v>442</v>
      </c>
      <c r="K93" s="78">
        <v>1700</v>
      </c>
      <c r="L93" s="78" t="s">
        <v>369</v>
      </c>
      <c r="M93" s="79" t="s">
        <v>220</v>
      </c>
      <c r="N93" s="79"/>
      <c r="O93" s="80" t="s">
        <v>312</v>
      </c>
      <c r="P93" s="80" t="s">
        <v>443</v>
      </c>
    </row>
    <row r="94" spans="1:16" ht="12.75" customHeight="1" x14ac:dyDescent="0.2">
      <c r="A94" s="32" t="str">
        <f t="shared" si="6"/>
        <v> BBS 86 </v>
      </c>
      <c r="B94" s="15" t="str">
        <f t="shared" si="7"/>
        <v>I</v>
      </c>
      <c r="C94" s="32">
        <f t="shared" si="8"/>
        <v>47092.362000000001</v>
      </c>
      <c r="D94" t="str">
        <f t="shared" si="9"/>
        <v>vis</v>
      </c>
      <c r="E94">
        <f>VLOOKUP(C94,Active!C$21:E$969,3,FALSE)</f>
        <v>1727.984396256305</v>
      </c>
      <c r="F94" s="15" t="s">
        <v>176</v>
      </c>
      <c r="G94" t="str">
        <f t="shared" si="10"/>
        <v>47092.362</v>
      </c>
      <c r="H94" s="32">
        <f t="shared" si="11"/>
        <v>1728</v>
      </c>
      <c r="I94" s="78" t="s">
        <v>444</v>
      </c>
      <c r="J94" s="79" t="s">
        <v>445</v>
      </c>
      <c r="K94" s="78">
        <v>1728</v>
      </c>
      <c r="L94" s="78" t="s">
        <v>232</v>
      </c>
      <c r="M94" s="79" t="s">
        <v>220</v>
      </c>
      <c r="N94" s="79"/>
      <c r="O94" s="80" t="s">
        <v>300</v>
      </c>
      <c r="P94" s="80" t="s">
        <v>443</v>
      </c>
    </row>
    <row r="95" spans="1:16" ht="12.75" customHeight="1" x14ac:dyDescent="0.2">
      <c r="A95" s="32" t="str">
        <f t="shared" si="6"/>
        <v> BBS 88 </v>
      </c>
      <c r="B95" s="15" t="str">
        <f t="shared" si="7"/>
        <v>I</v>
      </c>
      <c r="C95" s="32">
        <f t="shared" si="8"/>
        <v>47128.381999999998</v>
      </c>
      <c r="D95" t="str">
        <f t="shared" si="9"/>
        <v>vis</v>
      </c>
      <c r="E95">
        <f>VLOOKUP(C95,Active!C$21:E$969,3,FALSE)</f>
        <v>1770.0135036885108</v>
      </c>
      <c r="F95" s="15" t="s">
        <v>176</v>
      </c>
      <c r="G95" t="str">
        <f t="shared" si="10"/>
        <v>47128.382</v>
      </c>
      <c r="H95" s="32">
        <f t="shared" si="11"/>
        <v>1770</v>
      </c>
      <c r="I95" s="78" t="s">
        <v>446</v>
      </c>
      <c r="J95" s="79" t="s">
        <v>447</v>
      </c>
      <c r="K95" s="78">
        <v>1770</v>
      </c>
      <c r="L95" s="78" t="s">
        <v>308</v>
      </c>
      <c r="M95" s="79" t="s">
        <v>220</v>
      </c>
      <c r="N95" s="79"/>
      <c r="O95" s="80" t="s">
        <v>300</v>
      </c>
      <c r="P95" s="80" t="s">
        <v>448</v>
      </c>
    </row>
    <row r="96" spans="1:16" ht="12.75" customHeight="1" x14ac:dyDescent="0.2">
      <c r="A96" s="32" t="str">
        <f t="shared" si="6"/>
        <v> BBS 87 </v>
      </c>
      <c r="B96" s="15" t="str">
        <f t="shared" si="7"/>
        <v>I</v>
      </c>
      <c r="C96" s="32">
        <f t="shared" si="8"/>
        <v>47159.235999999997</v>
      </c>
      <c r="D96" t="str">
        <f t="shared" si="9"/>
        <v>vis</v>
      </c>
      <c r="E96">
        <f>VLOOKUP(C96,Active!C$21:E$969,3,FALSE)</f>
        <v>1806.014782997599</v>
      </c>
      <c r="F96" s="15" t="s">
        <v>176</v>
      </c>
      <c r="G96" t="str">
        <f t="shared" si="10"/>
        <v>47159.236</v>
      </c>
      <c r="H96" s="32">
        <f t="shared" si="11"/>
        <v>1806</v>
      </c>
      <c r="I96" s="78" t="s">
        <v>449</v>
      </c>
      <c r="J96" s="79" t="s">
        <v>450</v>
      </c>
      <c r="K96" s="78">
        <v>1806</v>
      </c>
      <c r="L96" s="78" t="s">
        <v>380</v>
      </c>
      <c r="M96" s="79" t="s">
        <v>220</v>
      </c>
      <c r="N96" s="79"/>
      <c r="O96" s="80" t="s">
        <v>451</v>
      </c>
      <c r="P96" s="80" t="s">
        <v>452</v>
      </c>
    </row>
    <row r="97" spans="1:16" ht="12.75" customHeight="1" x14ac:dyDescent="0.2">
      <c r="A97" s="32" t="str">
        <f t="shared" si="6"/>
        <v> BBS 87 </v>
      </c>
      <c r="B97" s="15" t="str">
        <f t="shared" si="7"/>
        <v>I</v>
      </c>
      <c r="C97" s="32">
        <f t="shared" si="8"/>
        <v>47170.379000000001</v>
      </c>
      <c r="D97" t="str">
        <f t="shared" si="9"/>
        <v>vis</v>
      </c>
      <c r="E97">
        <f>VLOOKUP(C97,Active!C$21:E$969,3,FALSE)</f>
        <v>1819.0167359159018</v>
      </c>
      <c r="F97" s="15" t="s">
        <v>176</v>
      </c>
      <c r="G97" t="str">
        <f t="shared" si="10"/>
        <v>47170.379</v>
      </c>
      <c r="H97" s="32">
        <f t="shared" si="11"/>
        <v>1819</v>
      </c>
      <c r="I97" s="78" t="s">
        <v>453</v>
      </c>
      <c r="J97" s="79" t="s">
        <v>454</v>
      </c>
      <c r="K97" s="78">
        <v>1819</v>
      </c>
      <c r="L97" s="78" t="s">
        <v>389</v>
      </c>
      <c r="M97" s="79" t="s">
        <v>220</v>
      </c>
      <c r="N97" s="79"/>
      <c r="O97" s="80" t="s">
        <v>312</v>
      </c>
      <c r="P97" s="80" t="s">
        <v>452</v>
      </c>
    </row>
    <row r="98" spans="1:16" ht="12.75" customHeight="1" x14ac:dyDescent="0.2">
      <c r="A98" s="32" t="str">
        <f t="shared" si="6"/>
        <v> BBS 87 </v>
      </c>
      <c r="B98" s="15" t="str">
        <f t="shared" si="7"/>
        <v>I</v>
      </c>
      <c r="C98" s="32">
        <f t="shared" si="8"/>
        <v>47206.372000000003</v>
      </c>
      <c r="D98" t="str">
        <f t="shared" si="9"/>
        <v>vis</v>
      </c>
      <c r="E98">
        <f>VLOOKUP(C98,Active!C$21:E$969,3,FALSE)</f>
        <v>1861.0143390199441</v>
      </c>
      <c r="F98" s="15" t="s">
        <v>176</v>
      </c>
      <c r="G98" t="str">
        <f t="shared" si="10"/>
        <v>47206.372</v>
      </c>
      <c r="H98" s="32">
        <f t="shared" si="11"/>
        <v>1861</v>
      </c>
      <c r="I98" s="78" t="s">
        <v>455</v>
      </c>
      <c r="J98" s="79" t="s">
        <v>456</v>
      </c>
      <c r="K98" s="78">
        <v>1861</v>
      </c>
      <c r="L98" s="78" t="s">
        <v>308</v>
      </c>
      <c r="M98" s="79" t="s">
        <v>220</v>
      </c>
      <c r="N98" s="79"/>
      <c r="O98" s="80" t="s">
        <v>312</v>
      </c>
      <c r="P98" s="80" t="s">
        <v>452</v>
      </c>
    </row>
    <row r="99" spans="1:16" ht="12.75" customHeight="1" x14ac:dyDescent="0.2">
      <c r="A99" s="32" t="str">
        <f t="shared" si="6"/>
        <v> BBS 87 </v>
      </c>
      <c r="B99" s="15" t="str">
        <f t="shared" si="7"/>
        <v>I</v>
      </c>
      <c r="C99" s="32">
        <f t="shared" si="8"/>
        <v>47212.37</v>
      </c>
      <c r="D99" t="str">
        <f t="shared" si="9"/>
        <v>vis</v>
      </c>
      <c r="E99">
        <f>VLOOKUP(C99,Active!C$21:E$969,3,FALSE)</f>
        <v>1868.0129671814759</v>
      </c>
      <c r="F99" s="15" t="s">
        <v>176</v>
      </c>
      <c r="G99" t="str">
        <f t="shared" si="10"/>
        <v>47212.370</v>
      </c>
      <c r="H99" s="32">
        <f t="shared" si="11"/>
        <v>1868</v>
      </c>
      <c r="I99" s="78" t="s">
        <v>457</v>
      </c>
      <c r="J99" s="79" t="s">
        <v>458</v>
      </c>
      <c r="K99" s="78">
        <v>1868</v>
      </c>
      <c r="L99" s="78" t="s">
        <v>269</v>
      </c>
      <c r="M99" s="79" t="s">
        <v>220</v>
      </c>
      <c r="N99" s="79"/>
      <c r="O99" s="80" t="s">
        <v>312</v>
      </c>
      <c r="P99" s="80" t="s">
        <v>452</v>
      </c>
    </row>
    <row r="100" spans="1:16" ht="12.75" customHeight="1" x14ac:dyDescent="0.2">
      <c r="A100" s="32" t="str">
        <f t="shared" si="6"/>
        <v> BRNO 30 </v>
      </c>
      <c r="B100" s="15" t="str">
        <f t="shared" si="7"/>
        <v>I</v>
      </c>
      <c r="C100" s="32">
        <f t="shared" si="8"/>
        <v>47439.485999999997</v>
      </c>
      <c r="D100" t="str">
        <f t="shared" si="9"/>
        <v>vis</v>
      </c>
      <c r="E100">
        <f>VLOOKUP(C100,Active!C$21:E$969,3,FALSE)</f>
        <v>2133.0180411285455</v>
      </c>
      <c r="F100" s="15" t="s">
        <v>176</v>
      </c>
      <c r="G100" t="str">
        <f t="shared" si="10"/>
        <v>47439.486</v>
      </c>
      <c r="H100" s="32">
        <f t="shared" si="11"/>
        <v>2133</v>
      </c>
      <c r="I100" s="78" t="s">
        <v>459</v>
      </c>
      <c r="J100" s="79" t="s">
        <v>460</v>
      </c>
      <c r="K100" s="78">
        <v>2133</v>
      </c>
      <c r="L100" s="78" t="s">
        <v>461</v>
      </c>
      <c r="M100" s="79" t="s">
        <v>220</v>
      </c>
      <c r="N100" s="79"/>
      <c r="O100" s="80" t="s">
        <v>462</v>
      </c>
      <c r="P100" s="80" t="s">
        <v>427</v>
      </c>
    </row>
    <row r="101" spans="1:16" ht="12.75" customHeight="1" x14ac:dyDescent="0.2">
      <c r="A101" s="32" t="str">
        <f t="shared" si="6"/>
        <v> BBS 90 </v>
      </c>
      <c r="B101" s="15" t="str">
        <f t="shared" si="7"/>
        <v>I</v>
      </c>
      <c r="C101" s="32">
        <f t="shared" si="8"/>
        <v>47452.33</v>
      </c>
      <c r="D101" t="str">
        <f t="shared" si="9"/>
        <v>vis</v>
      </c>
      <c r="E101">
        <f>VLOOKUP(C101,Active!C$21:E$969,3,FALSE)</f>
        <v>2148.0047667215349</v>
      </c>
      <c r="F101" s="15" t="s">
        <v>176</v>
      </c>
      <c r="G101" t="str">
        <f t="shared" si="10"/>
        <v>47452.330</v>
      </c>
      <c r="H101" s="32">
        <f t="shared" si="11"/>
        <v>2148</v>
      </c>
      <c r="I101" s="78" t="s">
        <v>463</v>
      </c>
      <c r="J101" s="79" t="s">
        <v>464</v>
      </c>
      <c r="K101" s="78">
        <v>2148</v>
      </c>
      <c r="L101" s="78" t="s">
        <v>219</v>
      </c>
      <c r="M101" s="79" t="s">
        <v>220</v>
      </c>
      <c r="N101" s="79"/>
      <c r="O101" s="80" t="s">
        <v>296</v>
      </c>
      <c r="P101" s="80" t="s">
        <v>465</v>
      </c>
    </row>
    <row r="102" spans="1:16" ht="12.75" customHeight="1" x14ac:dyDescent="0.2">
      <c r="A102" s="32" t="str">
        <f t="shared" si="6"/>
        <v> BBS 90 </v>
      </c>
      <c r="B102" s="15" t="str">
        <f t="shared" si="7"/>
        <v>I</v>
      </c>
      <c r="C102" s="32">
        <f t="shared" si="8"/>
        <v>47452.341999999997</v>
      </c>
      <c r="D102" t="str">
        <f t="shared" si="9"/>
        <v>vis</v>
      </c>
      <c r="E102">
        <f>VLOOKUP(C102,Active!C$21:E$969,3,FALSE)</f>
        <v>2148.0187686451604</v>
      </c>
      <c r="F102" s="15" t="s">
        <v>176</v>
      </c>
      <c r="G102" t="str">
        <f t="shared" si="10"/>
        <v>47452.342</v>
      </c>
      <c r="H102" s="32">
        <f t="shared" si="11"/>
        <v>2148</v>
      </c>
      <c r="I102" s="78" t="s">
        <v>466</v>
      </c>
      <c r="J102" s="79" t="s">
        <v>467</v>
      </c>
      <c r="K102" s="78">
        <v>2148</v>
      </c>
      <c r="L102" s="78" t="s">
        <v>188</v>
      </c>
      <c r="M102" s="79" t="s">
        <v>220</v>
      </c>
      <c r="N102" s="79"/>
      <c r="O102" s="80" t="s">
        <v>312</v>
      </c>
      <c r="P102" s="80" t="s">
        <v>465</v>
      </c>
    </row>
    <row r="103" spans="1:16" ht="12.75" customHeight="1" x14ac:dyDescent="0.2">
      <c r="A103" s="32" t="str">
        <f t="shared" si="6"/>
        <v>BAVM 56 </v>
      </c>
      <c r="B103" s="15" t="str">
        <f t="shared" si="7"/>
        <v>I</v>
      </c>
      <c r="C103" s="32">
        <f t="shared" si="8"/>
        <v>47469.459000000003</v>
      </c>
      <c r="D103" t="str">
        <f t="shared" si="9"/>
        <v>vis</v>
      </c>
      <c r="E103">
        <f>VLOOKUP(C103,Active!C$21:E$969,3,FALSE)</f>
        <v>2167.991345877736</v>
      </c>
      <c r="F103" s="15" t="s">
        <v>176</v>
      </c>
      <c r="G103" t="str">
        <f t="shared" si="10"/>
        <v>47469.459</v>
      </c>
      <c r="H103" s="32">
        <f t="shared" si="11"/>
        <v>2168</v>
      </c>
      <c r="I103" s="78" t="s">
        <v>468</v>
      </c>
      <c r="J103" s="79" t="s">
        <v>469</v>
      </c>
      <c r="K103" s="78">
        <v>2168</v>
      </c>
      <c r="L103" s="78" t="s">
        <v>210</v>
      </c>
      <c r="M103" s="79" t="s">
        <v>470</v>
      </c>
      <c r="N103" s="79"/>
      <c r="O103" s="80" t="s">
        <v>471</v>
      </c>
      <c r="P103" s="81" t="s">
        <v>92</v>
      </c>
    </row>
    <row r="104" spans="1:16" ht="12.75" customHeight="1" x14ac:dyDescent="0.2">
      <c r="A104" s="32" t="str">
        <f t="shared" si="6"/>
        <v> BRNO 30 </v>
      </c>
      <c r="B104" s="15" t="str">
        <f t="shared" si="7"/>
        <v>I</v>
      </c>
      <c r="C104" s="32">
        <f t="shared" si="8"/>
        <v>47470.319000000003</v>
      </c>
      <c r="D104" t="str">
        <f t="shared" si="9"/>
        <v>vis</v>
      </c>
      <c r="E104">
        <f>VLOOKUP(C104,Active!C$21:E$969,3,FALSE)</f>
        <v>2168.9948170712873</v>
      </c>
      <c r="F104" s="15" t="s">
        <v>176</v>
      </c>
      <c r="G104" t="str">
        <f t="shared" si="10"/>
        <v>47470.319</v>
      </c>
      <c r="H104" s="32">
        <f t="shared" si="11"/>
        <v>2169</v>
      </c>
      <c r="I104" s="78" t="s">
        <v>472</v>
      </c>
      <c r="J104" s="79" t="s">
        <v>473</v>
      </c>
      <c r="K104" s="78">
        <v>2169</v>
      </c>
      <c r="L104" s="78" t="s">
        <v>474</v>
      </c>
      <c r="M104" s="79" t="s">
        <v>220</v>
      </c>
      <c r="N104" s="79"/>
      <c r="O104" s="80" t="s">
        <v>475</v>
      </c>
      <c r="P104" s="80" t="s">
        <v>427</v>
      </c>
    </row>
    <row r="105" spans="1:16" ht="12.75" customHeight="1" x14ac:dyDescent="0.2">
      <c r="A105" s="32" t="str">
        <f t="shared" si="6"/>
        <v> BRNO 30 </v>
      </c>
      <c r="B105" s="15" t="str">
        <f t="shared" si="7"/>
        <v>I</v>
      </c>
      <c r="C105" s="32">
        <f t="shared" si="8"/>
        <v>47470.322999999997</v>
      </c>
      <c r="D105" t="str">
        <f t="shared" si="9"/>
        <v>vis</v>
      </c>
      <c r="E105">
        <f>VLOOKUP(C105,Active!C$21:E$969,3,FALSE)</f>
        <v>2168.9994843791569</v>
      </c>
      <c r="F105" s="15" t="s">
        <v>176</v>
      </c>
      <c r="G105" t="str">
        <f t="shared" si="10"/>
        <v>47470.323</v>
      </c>
      <c r="H105" s="32">
        <f t="shared" si="11"/>
        <v>2169</v>
      </c>
      <c r="I105" s="78" t="s">
        <v>476</v>
      </c>
      <c r="J105" s="79" t="s">
        <v>477</v>
      </c>
      <c r="K105" s="78">
        <v>2169</v>
      </c>
      <c r="L105" s="78" t="s">
        <v>478</v>
      </c>
      <c r="M105" s="79" t="s">
        <v>220</v>
      </c>
      <c r="N105" s="79"/>
      <c r="O105" s="80" t="s">
        <v>479</v>
      </c>
      <c r="P105" s="80" t="s">
        <v>427</v>
      </c>
    </row>
    <row r="106" spans="1:16" ht="12.75" customHeight="1" x14ac:dyDescent="0.2">
      <c r="A106" s="32" t="str">
        <f t="shared" si="6"/>
        <v> BBS 90 </v>
      </c>
      <c r="B106" s="15" t="str">
        <f t="shared" si="7"/>
        <v>I</v>
      </c>
      <c r="C106" s="32">
        <f t="shared" si="8"/>
        <v>47481.468000000001</v>
      </c>
      <c r="D106" t="str">
        <f t="shared" si="9"/>
        <v>vis</v>
      </c>
      <c r="E106">
        <f>VLOOKUP(C106,Active!C$21:E$969,3,FALSE)</f>
        <v>2182.0037709513986</v>
      </c>
      <c r="F106" s="15" t="s">
        <v>176</v>
      </c>
      <c r="G106" t="str">
        <f t="shared" si="10"/>
        <v>47481.468</v>
      </c>
      <c r="H106" s="32">
        <f t="shared" si="11"/>
        <v>2182</v>
      </c>
      <c r="I106" s="78" t="s">
        <v>480</v>
      </c>
      <c r="J106" s="79" t="s">
        <v>481</v>
      </c>
      <c r="K106" s="78">
        <v>2182</v>
      </c>
      <c r="L106" s="78" t="s">
        <v>277</v>
      </c>
      <c r="M106" s="79" t="s">
        <v>220</v>
      </c>
      <c r="N106" s="79"/>
      <c r="O106" s="80" t="s">
        <v>312</v>
      </c>
      <c r="P106" s="80" t="s">
        <v>465</v>
      </c>
    </row>
    <row r="107" spans="1:16" ht="12.75" customHeight="1" x14ac:dyDescent="0.2">
      <c r="A107" s="32" t="str">
        <f t="shared" si="6"/>
        <v> BBS 91 </v>
      </c>
      <c r="B107" s="15" t="str">
        <f t="shared" si="7"/>
        <v>I</v>
      </c>
      <c r="C107" s="32">
        <f t="shared" si="8"/>
        <v>47524.326000000001</v>
      </c>
      <c r="D107" t="str">
        <f t="shared" si="9"/>
        <v>vis</v>
      </c>
      <c r="E107">
        <f>VLOOKUP(C107,Active!C$21:E$969,3,FALSE)</f>
        <v>2232.0116411993063</v>
      </c>
      <c r="F107" s="15" t="s">
        <v>176</v>
      </c>
      <c r="G107" t="str">
        <f t="shared" si="10"/>
        <v>47524.326</v>
      </c>
      <c r="H107" s="32">
        <f t="shared" si="11"/>
        <v>2232</v>
      </c>
      <c r="I107" s="78" t="s">
        <v>482</v>
      </c>
      <c r="J107" s="79" t="s">
        <v>483</v>
      </c>
      <c r="K107" s="78">
        <v>2232</v>
      </c>
      <c r="L107" s="78" t="s">
        <v>319</v>
      </c>
      <c r="M107" s="79" t="s">
        <v>220</v>
      </c>
      <c r="N107" s="79"/>
      <c r="O107" s="80" t="s">
        <v>300</v>
      </c>
      <c r="P107" s="80" t="s">
        <v>484</v>
      </c>
    </row>
    <row r="108" spans="1:16" ht="12.75" customHeight="1" x14ac:dyDescent="0.2">
      <c r="A108" s="32" t="str">
        <f t="shared" si="6"/>
        <v> BBS 91 </v>
      </c>
      <c r="B108" s="15" t="str">
        <f t="shared" si="7"/>
        <v>I</v>
      </c>
      <c r="C108" s="32">
        <f t="shared" si="8"/>
        <v>47530.355000000003</v>
      </c>
      <c r="D108" t="str">
        <f t="shared" si="9"/>
        <v>vis</v>
      </c>
      <c r="E108">
        <f>VLOOKUP(C108,Active!C$21:E$969,3,FALSE)</f>
        <v>2239.0464409968877</v>
      </c>
      <c r="F108" s="15" t="s">
        <v>176</v>
      </c>
      <c r="G108" t="str">
        <f t="shared" si="10"/>
        <v>47530.355</v>
      </c>
      <c r="H108" s="32">
        <f t="shared" si="11"/>
        <v>2239</v>
      </c>
      <c r="I108" s="78" t="s">
        <v>485</v>
      </c>
      <c r="J108" s="79" t="s">
        <v>486</v>
      </c>
      <c r="K108" s="78">
        <v>2239</v>
      </c>
      <c r="L108" s="78" t="s">
        <v>487</v>
      </c>
      <c r="M108" s="79" t="s">
        <v>220</v>
      </c>
      <c r="N108" s="79"/>
      <c r="O108" s="80" t="s">
        <v>312</v>
      </c>
      <c r="P108" s="80" t="s">
        <v>484</v>
      </c>
    </row>
    <row r="109" spans="1:16" ht="12.75" customHeight="1" x14ac:dyDescent="0.2">
      <c r="A109" s="32" t="str">
        <f t="shared" si="6"/>
        <v> BBS 91 </v>
      </c>
      <c r="B109" s="15" t="str">
        <f t="shared" si="7"/>
        <v>I</v>
      </c>
      <c r="C109" s="32">
        <f t="shared" si="8"/>
        <v>47553.478000000003</v>
      </c>
      <c r="D109" t="str">
        <f t="shared" si="9"/>
        <v>vis</v>
      </c>
      <c r="E109">
        <f>VLOOKUP(C109,Active!C$21:E$969,3,FALSE)</f>
        <v>2266.0269810067421</v>
      </c>
      <c r="F109" s="15" t="s">
        <v>176</v>
      </c>
      <c r="G109" t="str">
        <f t="shared" si="10"/>
        <v>47553.478</v>
      </c>
      <c r="H109" s="32">
        <f t="shared" si="11"/>
        <v>2266</v>
      </c>
      <c r="I109" s="78" t="s">
        <v>488</v>
      </c>
      <c r="J109" s="79" t="s">
        <v>489</v>
      </c>
      <c r="K109" s="78">
        <v>2266</v>
      </c>
      <c r="L109" s="78" t="s">
        <v>490</v>
      </c>
      <c r="M109" s="79" t="s">
        <v>220</v>
      </c>
      <c r="N109" s="79"/>
      <c r="O109" s="80" t="s">
        <v>312</v>
      </c>
      <c r="P109" s="80" t="s">
        <v>484</v>
      </c>
    </row>
    <row r="110" spans="1:16" ht="12.75" customHeight="1" x14ac:dyDescent="0.2">
      <c r="A110" s="32" t="str">
        <f t="shared" si="6"/>
        <v> BBS 91 </v>
      </c>
      <c r="B110" s="15" t="str">
        <f t="shared" si="7"/>
        <v>I</v>
      </c>
      <c r="C110" s="32">
        <f t="shared" si="8"/>
        <v>47554.326000000001</v>
      </c>
      <c r="D110" t="str">
        <f t="shared" si="9"/>
        <v>vis</v>
      </c>
      <c r="E110">
        <f>VLOOKUP(C110,Active!C$21:E$969,3,FALSE)</f>
        <v>2267.0164502766597</v>
      </c>
      <c r="F110" s="15" t="s">
        <v>176</v>
      </c>
      <c r="G110" t="str">
        <f t="shared" si="10"/>
        <v>47554.326</v>
      </c>
      <c r="H110" s="32">
        <f t="shared" si="11"/>
        <v>2267</v>
      </c>
      <c r="I110" s="78" t="s">
        <v>491</v>
      </c>
      <c r="J110" s="79" t="s">
        <v>492</v>
      </c>
      <c r="K110" s="78">
        <v>2267</v>
      </c>
      <c r="L110" s="78" t="s">
        <v>389</v>
      </c>
      <c r="M110" s="79" t="s">
        <v>220</v>
      </c>
      <c r="N110" s="79"/>
      <c r="O110" s="80" t="s">
        <v>312</v>
      </c>
      <c r="P110" s="80" t="s">
        <v>484</v>
      </c>
    </row>
    <row r="111" spans="1:16" ht="12.75" customHeight="1" x14ac:dyDescent="0.2">
      <c r="A111" s="32" t="str">
        <f t="shared" si="6"/>
        <v> BBS 91 </v>
      </c>
      <c r="B111" s="15" t="str">
        <f t="shared" si="7"/>
        <v>I</v>
      </c>
      <c r="C111" s="32">
        <f t="shared" si="8"/>
        <v>47566.305</v>
      </c>
      <c r="D111" t="str">
        <f t="shared" si="9"/>
        <v>vis</v>
      </c>
      <c r="E111">
        <f>VLOOKUP(C111,Active!C$21:E$969,3,FALSE)</f>
        <v>2280.9938705412465</v>
      </c>
      <c r="F111" s="15" t="s">
        <v>176</v>
      </c>
      <c r="G111" t="str">
        <f t="shared" si="10"/>
        <v>47566.305</v>
      </c>
      <c r="H111" s="32">
        <f t="shared" si="11"/>
        <v>2281</v>
      </c>
      <c r="I111" s="78" t="s">
        <v>493</v>
      </c>
      <c r="J111" s="79" t="s">
        <v>494</v>
      </c>
      <c r="K111" s="78">
        <v>2281</v>
      </c>
      <c r="L111" s="78" t="s">
        <v>179</v>
      </c>
      <c r="M111" s="79" t="s">
        <v>220</v>
      </c>
      <c r="N111" s="79"/>
      <c r="O111" s="80" t="s">
        <v>312</v>
      </c>
      <c r="P111" s="80" t="s">
        <v>484</v>
      </c>
    </row>
    <row r="112" spans="1:16" ht="12.75" customHeight="1" x14ac:dyDescent="0.2">
      <c r="A112" s="32" t="str">
        <f t="shared" si="6"/>
        <v> BBS 91 </v>
      </c>
      <c r="B112" s="15" t="str">
        <f t="shared" si="7"/>
        <v>I</v>
      </c>
      <c r="C112" s="32">
        <f t="shared" si="8"/>
        <v>47590.311000000002</v>
      </c>
      <c r="D112" t="str">
        <f t="shared" si="9"/>
        <v>vis</v>
      </c>
      <c r="E112">
        <f>VLOOKUP(C112,Active!C$21:E$969,3,FALSE)</f>
        <v>2309.0047187649466</v>
      </c>
      <c r="F112" s="15" t="s">
        <v>176</v>
      </c>
      <c r="G112" t="str">
        <f t="shared" si="10"/>
        <v>47590.311</v>
      </c>
      <c r="H112" s="32">
        <f t="shared" si="11"/>
        <v>2309</v>
      </c>
      <c r="I112" s="78" t="s">
        <v>495</v>
      </c>
      <c r="J112" s="79" t="s">
        <v>496</v>
      </c>
      <c r="K112" s="78">
        <v>2309</v>
      </c>
      <c r="L112" s="78" t="s">
        <v>219</v>
      </c>
      <c r="M112" s="79" t="s">
        <v>220</v>
      </c>
      <c r="N112" s="79"/>
      <c r="O112" s="80" t="s">
        <v>312</v>
      </c>
      <c r="P112" s="80" t="s">
        <v>484</v>
      </c>
    </row>
    <row r="113" spans="1:16" ht="12.75" customHeight="1" x14ac:dyDescent="0.2">
      <c r="A113" s="32" t="str">
        <f t="shared" si="6"/>
        <v> BBS 93 </v>
      </c>
      <c r="B113" s="15" t="str">
        <f t="shared" si="7"/>
        <v>I</v>
      </c>
      <c r="C113" s="32">
        <f t="shared" si="8"/>
        <v>47805.432000000001</v>
      </c>
      <c r="D113" t="str">
        <f t="shared" si="9"/>
        <v>vis</v>
      </c>
      <c r="E113">
        <f>VLOOKUP(C113,Active!C$21:E$969,3,FALSE)</f>
        <v>2560.0137032159259</v>
      </c>
      <c r="F113" s="15" t="s">
        <v>176</v>
      </c>
      <c r="G113" t="str">
        <f t="shared" si="10"/>
        <v>47805.432</v>
      </c>
      <c r="H113" s="32">
        <f t="shared" si="11"/>
        <v>2560</v>
      </c>
      <c r="I113" s="78" t="s">
        <v>497</v>
      </c>
      <c r="J113" s="79" t="s">
        <v>498</v>
      </c>
      <c r="K113" s="78">
        <v>2560</v>
      </c>
      <c r="L113" s="78" t="s">
        <v>308</v>
      </c>
      <c r="M113" s="79" t="s">
        <v>220</v>
      </c>
      <c r="N113" s="79"/>
      <c r="O113" s="80" t="s">
        <v>312</v>
      </c>
      <c r="P113" s="80" t="s">
        <v>499</v>
      </c>
    </row>
    <row r="114" spans="1:16" ht="12.75" customHeight="1" x14ac:dyDescent="0.2">
      <c r="A114" s="32" t="str">
        <f t="shared" si="6"/>
        <v>BAVM 56 </v>
      </c>
      <c r="B114" s="15" t="str">
        <f t="shared" si="7"/>
        <v>I</v>
      </c>
      <c r="C114" s="32">
        <f t="shared" si="8"/>
        <v>47847.421000000002</v>
      </c>
      <c r="D114" t="str">
        <f t="shared" si="9"/>
        <v>vis</v>
      </c>
      <c r="E114">
        <f>VLOOKUP(C114,Active!C$21:E$969,3,FALSE)</f>
        <v>2609.007600827561</v>
      </c>
      <c r="F114" s="15" t="s">
        <v>176</v>
      </c>
      <c r="G114" t="str">
        <f t="shared" si="10"/>
        <v>47847.421</v>
      </c>
      <c r="H114" s="32">
        <f t="shared" si="11"/>
        <v>2609</v>
      </c>
      <c r="I114" s="78" t="s">
        <v>500</v>
      </c>
      <c r="J114" s="79" t="s">
        <v>501</v>
      </c>
      <c r="K114" s="78">
        <v>2609</v>
      </c>
      <c r="L114" s="78" t="s">
        <v>264</v>
      </c>
      <c r="M114" s="79" t="s">
        <v>470</v>
      </c>
      <c r="N114" s="79"/>
      <c r="O114" s="80" t="s">
        <v>471</v>
      </c>
      <c r="P114" s="81" t="s">
        <v>92</v>
      </c>
    </row>
    <row r="115" spans="1:16" ht="12.75" customHeight="1" x14ac:dyDescent="0.2">
      <c r="A115" s="32" t="str">
        <f t="shared" si="6"/>
        <v>BAVM 56 </v>
      </c>
      <c r="B115" s="15" t="str">
        <f t="shared" si="7"/>
        <v>I</v>
      </c>
      <c r="C115" s="32">
        <f t="shared" si="8"/>
        <v>47860.27</v>
      </c>
      <c r="D115" t="str">
        <f t="shared" si="9"/>
        <v>vis</v>
      </c>
      <c r="E115">
        <f>VLOOKUP(C115,Active!C$21:E$969,3,FALSE)</f>
        <v>2624.0001605553857</v>
      </c>
      <c r="F115" s="15" t="s">
        <v>176</v>
      </c>
      <c r="G115" t="str">
        <f t="shared" si="10"/>
        <v>47860.270</v>
      </c>
      <c r="H115" s="32">
        <f t="shared" si="11"/>
        <v>2624</v>
      </c>
      <c r="I115" s="78" t="s">
        <v>502</v>
      </c>
      <c r="J115" s="79" t="s">
        <v>503</v>
      </c>
      <c r="K115" s="78">
        <v>2624</v>
      </c>
      <c r="L115" s="78" t="s">
        <v>322</v>
      </c>
      <c r="M115" s="79" t="s">
        <v>470</v>
      </c>
      <c r="N115" s="79"/>
      <c r="O115" s="80" t="s">
        <v>471</v>
      </c>
      <c r="P115" s="81" t="s">
        <v>92</v>
      </c>
    </row>
    <row r="116" spans="1:16" ht="12.75" customHeight="1" x14ac:dyDescent="0.2">
      <c r="A116" s="32" t="str">
        <f t="shared" si="6"/>
        <v> BBS 94 </v>
      </c>
      <c r="B116" s="15" t="str">
        <f t="shared" si="7"/>
        <v>I</v>
      </c>
      <c r="C116" s="32">
        <f t="shared" si="8"/>
        <v>47895.41</v>
      </c>
      <c r="D116" t="str">
        <f t="shared" si="9"/>
        <v>vis</v>
      </c>
      <c r="E116">
        <f>VLOOKUP(C116,Active!C$21:E$969,3,FALSE)</f>
        <v>2665.0024602546669</v>
      </c>
      <c r="F116" s="15" t="s">
        <v>176</v>
      </c>
      <c r="G116" t="str">
        <f t="shared" si="10"/>
        <v>47895.410</v>
      </c>
      <c r="H116" s="32">
        <f t="shared" si="11"/>
        <v>2665</v>
      </c>
      <c r="I116" s="78" t="s">
        <v>504</v>
      </c>
      <c r="J116" s="79" t="s">
        <v>505</v>
      </c>
      <c r="K116" s="78">
        <v>2665</v>
      </c>
      <c r="L116" s="78" t="s">
        <v>315</v>
      </c>
      <c r="M116" s="79" t="s">
        <v>220</v>
      </c>
      <c r="N116" s="79"/>
      <c r="O116" s="80" t="s">
        <v>312</v>
      </c>
      <c r="P116" s="80" t="s">
        <v>506</v>
      </c>
    </row>
    <row r="117" spans="1:16" ht="12.75" customHeight="1" x14ac:dyDescent="0.2">
      <c r="A117" s="32" t="str">
        <f t="shared" si="6"/>
        <v> BBS 94 </v>
      </c>
      <c r="B117" s="15" t="str">
        <f t="shared" si="7"/>
        <v>I</v>
      </c>
      <c r="C117" s="32">
        <f t="shared" si="8"/>
        <v>47914.29</v>
      </c>
      <c r="D117" t="str">
        <f t="shared" si="9"/>
        <v>vis</v>
      </c>
      <c r="E117">
        <f>VLOOKUP(C117,Active!C$21:E$969,3,FALSE)</f>
        <v>2687.0321534340119</v>
      </c>
      <c r="F117" s="15" t="s">
        <v>176</v>
      </c>
      <c r="G117" t="str">
        <f t="shared" si="10"/>
        <v>47914.290</v>
      </c>
      <c r="H117" s="32">
        <f t="shared" si="11"/>
        <v>2687</v>
      </c>
      <c r="I117" s="78" t="s">
        <v>507</v>
      </c>
      <c r="J117" s="79" t="s">
        <v>508</v>
      </c>
      <c r="K117" s="78">
        <v>2687</v>
      </c>
      <c r="L117" s="78" t="s">
        <v>509</v>
      </c>
      <c r="M117" s="79" t="s">
        <v>220</v>
      </c>
      <c r="N117" s="79"/>
      <c r="O117" s="80" t="s">
        <v>312</v>
      </c>
      <c r="P117" s="80" t="s">
        <v>506</v>
      </c>
    </row>
    <row r="118" spans="1:16" ht="12.75" customHeight="1" x14ac:dyDescent="0.2">
      <c r="A118" s="32" t="str">
        <f t="shared" si="6"/>
        <v> BRNO 31 </v>
      </c>
      <c r="B118" s="15" t="str">
        <f t="shared" si="7"/>
        <v>I</v>
      </c>
      <c r="C118" s="32">
        <f t="shared" si="8"/>
        <v>47919.398000000001</v>
      </c>
      <c r="D118" t="str">
        <f t="shared" si="9"/>
        <v>vis</v>
      </c>
      <c r="E118">
        <f>VLOOKUP(C118,Active!C$21:E$969,3,FALSE)</f>
        <v>2692.9923055929162</v>
      </c>
      <c r="F118" s="15" t="s">
        <v>176</v>
      </c>
      <c r="G118" t="str">
        <f t="shared" si="10"/>
        <v>47919.398</v>
      </c>
      <c r="H118" s="32">
        <f t="shared" si="11"/>
        <v>2693</v>
      </c>
      <c r="I118" s="78" t="s">
        <v>510</v>
      </c>
      <c r="J118" s="79" t="s">
        <v>511</v>
      </c>
      <c r="K118" s="78">
        <v>2693</v>
      </c>
      <c r="L118" s="78" t="s">
        <v>210</v>
      </c>
      <c r="M118" s="79" t="s">
        <v>220</v>
      </c>
      <c r="N118" s="79"/>
      <c r="O118" s="80" t="s">
        <v>512</v>
      </c>
      <c r="P118" s="80" t="s">
        <v>513</v>
      </c>
    </row>
    <row r="119" spans="1:16" ht="12.75" customHeight="1" x14ac:dyDescent="0.2">
      <c r="A119" s="32" t="str">
        <f t="shared" si="6"/>
        <v> BBS 94 </v>
      </c>
      <c r="B119" s="15" t="str">
        <f t="shared" si="7"/>
        <v>I</v>
      </c>
      <c r="C119" s="32">
        <f t="shared" si="8"/>
        <v>47932.277999999998</v>
      </c>
      <c r="D119" t="str">
        <f t="shared" si="9"/>
        <v>vis</v>
      </c>
      <c r="E119">
        <f>VLOOKUP(C119,Active!C$21:E$969,3,FALSE)</f>
        <v>2708.0210369567903</v>
      </c>
      <c r="F119" s="15" t="s">
        <v>176</v>
      </c>
      <c r="G119" t="str">
        <f t="shared" si="10"/>
        <v>47932.278</v>
      </c>
      <c r="H119" s="32">
        <f t="shared" si="11"/>
        <v>2708</v>
      </c>
      <c r="I119" s="78" t="s">
        <v>514</v>
      </c>
      <c r="J119" s="79" t="s">
        <v>515</v>
      </c>
      <c r="K119" s="78">
        <v>2708</v>
      </c>
      <c r="L119" s="78" t="s">
        <v>196</v>
      </c>
      <c r="M119" s="79" t="s">
        <v>220</v>
      </c>
      <c r="N119" s="79"/>
      <c r="O119" s="80" t="s">
        <v>312</v>
      </c>
      <c r="P119" s="80" t="s">
        <v>506</v>
      </c>
    </row>
    <row r="120" spans="1:16" ht="12.75" customHeight="1" x14ac:dyDescent="0.2">
      <c r="A120" s="32" t="str">
        <f t="shared" si="6"/>
        <v> BRNO 31 </v>
      </c>
      <c r="B120" s="15" t="str">
        <f t="shared" si="7"/>
        <v>I</v>
      </c>
      <c r="C120" s="32">
        <f t="shared" si="8"/>
        <v>47943.387000000002</v>
      </c>
      <c r="D120" t="str">
        <f t="shared" si="9"/>
        <v>vis</v>
      </c>
      <c r="E120">
        <f>VLOOKUP(C120,Active!C$21:E$969,3,FALSE)</f>
        <v>2720.983317758139</v>
      </c>
      <c r="F120" s="15" t="s">
        <v>176</v>
      </c>
      <c r="G120" t="str">
        <f t="shared" si="10"/>
        <v>47943.387</v>
      </c>
      <c r="H120" s="32">
        <f t="shared" si="11"/>
        <v>2721</v>
      </c>
      <c r="I120" s="78" t="s">
        <v>516</v>
      </c>
      <c r="J120" s="79" t="s">
        <v>517</v>
      </c>
      <c r="K120" s="78">
        <v>2721</v>
      </c>
      <c r="L120" s="78" t="s">
        <v>518</v>
      </c>
      <c r="M120" s="79" t="s">
        <v>220</v>
      </c>
      <c r="N120" s="79"/>
      <c r="O120" s="80" t="s">
        <v>519</v>
      </c>
      <c r="P120" s="80" t="s">
        <v>513</v>
      </c>
    </row>
    <row r="121" spans="1:16" ht="12.75" customHeight="1" x14ac:dyDescent="0.2">
      <c r="A121" s="32" t="str">
        <f t="shared" si="6"/>
        <v> BRNO 31 </v>
      </c>
      <c r="B121" s="15" t="str">
        <f t="shared" si="7"/>
        <v>I</v>
      </c>
      <c r="C121" s="32">
        <f t="shared" si="8"/>
        <v>47943.387000000002</v>
      </c>
      <c r="D121" t="str">
        <f t="shared" si="9"/>
        <v>vis</v>
      </c>
      <c r="E121">
        <f>VLOOKUP(C121,Active!C$21:E$969,3,FALSE)</f>
        <v>2720.983317758139</v>
      </c>
      <c r="F121" s="15" t="s">
        <v>176</v>
      </c>
      <c r="G121" t="str">
        <f t="shared" si="10"/>
        <v>47943.387</v>
      </c>
      <c r="H121" s="32">
        <f t="shared" si="11"/>
        <v>2721</v>
      </c>
      <c r="I121" s="78" t="s">
        <v>516</v>
      </c>
      <c r="J121" s="79" t="s">
        <v>517</v>
      </c>
      <c r="K121" s="78">
        <v>2721</v>
      </c>
      <c r="L121" s="78" t="s">
        <v>518</v>
      </c>
      <c r="M121" s="79" t="s">
        <v>220</v>
      </c>
      <c r="N121" s="79"/>
      <c r="O121" s="80" t="s">
        <v>520</v>
      </c>
      <c r="P121" s="80" t="s">
        <v>513</v>
      </c>
    </row>
    <row r="122" spans="1:16" ht="12.75" customHeight="1" x14ac:dyDescent="0.2">
      <c r="A122" s="32" t="str">
        <f t="shared" si="6"/>
        <v> BBS 94 </v>
      </c>
      <c r="B122" s="15" t="str">
        <f t="shared" si="7"/>
        <v>I</v>
      </c>
      <c r="C122" s="32">
        <f t="shared" si="8"/>
        <v>47944.286999999997</v>
      </c>
      <c r="D122" t="str">
        <f t="shared" si="9"/>
        <v>vis</v>
      </c>
      <c r="E122">
        <f>VLOOKUP(C122,Active!C$21:E$969,3,FALSE)</f>
        <v>2722.0334620304529</v>
      </c>
      <c r="F122" s="15" t="s">
        <v>176</v>
      </c>
      <c r="G122" t="str">
        <f t="shared" si="10"/>
        <v>47944.287</v>
      </c>
      <c r="H122" s="32">
        <f t="shared" si="11"/>
        <v>2722</v>
      </c>
      <c r="I122" s="78" t="s">
        <v>521</v>
      </c>
      <c r="J122" s="79" t="s">
        <v>522</v>
      </c>
      <c r="K122" s="78">
        <v>2722</v>
      </c>
      <c r="L122" s="78" t="s">
        <v>523</v>
      </c>
      <c r="M122" s="79" t="s">
        <v>220</v>
      </c>
      <c r="N122" s="79"/>
      <c r="O122" s="80" t="s">
        <v>312</v>
      </c>
      <c r="P122" s="80" t="s">
        <v>506</v>
      </c>
    </row>
    <row r="123" spans="1:16" ht="12.75" customHeight="1" x14ac:dyDescent="0.2">
      <c r="A123" s="32" t="str">
        <f t="shared" si="6"/>
        <v> BBS 96 </v>
      </c>
      <c r="B123" s="15" t="str">
        <f t="shared" si="7"/>
        <v>I</v>
      </c>
      <c r="C123" s="32">
        <f t="shared" si="8"/>
        <v>48189.385000000002</v>
      </c>
      <c r="D123" t="str">
        <f t="shared" si="9"/>
        <v>vis</v>
      </c>
      <c r="E123">
        <f>VLOOKUP(C123,Active!C$21:E$969,3,FALSE)</f>
        <v>3008.020418538501</v>
      </c>
      <c r="F123" s="15" t="s">
        <v>176</v>
      </c>
      <c r="G123" t="str">
        <f t="shared" si="10"/>
        <v>48189.385</v>
      </c>
      <c r="H123" s="32">
        <f t="shared" si="11"/>
        <v>3008</v>
      </c>
      <c r="I123" s="78" t="s">
        <v>524</v>
      </c>
      <c r="J123" s="79" t="s">
        <v>525</v>
      </c>
      <c r="K123" s="78">
        <v>3008</v>
      </c>
      <c r="L123" s="78" t="s">
        <v>311</v>
      </c>
      <c r="M123" s="79" t="s">
        <v>220</v>
      </c>
      <c r="N123" s="79"/>
      <c r="O123" s="80" t="s">
        <v>312</v>
      </c>
      <c r="P123" s="80" t="s">
        <v>526</v>
      </c>
    </row>
    <row r="124" spans="1:16" ht="12.75" customHeight="1" x14ac:dyDescent="0.2">
      <c r="A124" s="32" t="str">
        <f t="shared" si="6"/>
        <v> BRNO 31 </v>
      </c>
      <c r="B124" s="15" t="str">
        <f t="shared" si="7"/>
        <v>I</v>
      </c>
      <c r="C124" s="32">
        <f t="shared" si="8"/>
        <v>48512.483999999997</v>
      </c>
      <c r="D124" t="str">
        <f t="shared" si="9"/>
        <v>vis</v>
      </c>
      <c r="E124">
        <f>VLOOKUP(C124,Active!C$21:E$969,3,FALSE)</f>
        <v>3385.0210454746252</v>
      </c>
      <c r="F124" s="15" t="s">
        <v>176</v>
      </c>
      <c r="G124" t="str">
        <f t="shared" si="10"/>
        <v>48512.484</v>
      </c>
      <c r="H124" s="32">
        <f t="shared" si="11"/>
        <v>3385</v>
      </c>
      <c r="I124" s="78" t="s">
        <v>527</v>
      </c>
      <c r="J124" s="79" t="s">
        <v>528</v>
      </c>
      <c r="K124" s="78">
        <v>3385</v>
      </c>
      <c r="L124" s="78" t="s">
        <v>196</v>
      </c>
      <c r="M124" s="79" t="s">
        <v>220</v>
      </c>
      <c r="N124" s="79"/>
      <c r="O124" s="80" t="s">
        <v>529</v>
      </c>
      <c r="P124" s="80" t="s">
        <v>513</v>
      </c>
    </row>
    <row r="125" spans="1:16" ht="12.75" customHeight="1" x14ac:dyDescent="0.2">
      <c r="A125" s="32" t="str">
        <f t="shared" si="6"/>
        <v>IBVS 4097 </v>
      </c>
      <c r="B125" s="15" t="str">
        <f t="shared" si="7"/>
        <v>I</v>
      </c>
      <c r="C125" s="32">
        <f t="shared" si="8"/>
        <v>48567.322399999997</v>
      </c>
      <c r="D125" t="str">
        <f t="shared" si="9"/>
        <v>vis</v>
      </c>
      <c r="E125">
        <f>VLOOKUP(C125,Active!C$21:E$969,3,FALSE)</f>
        <v>3449.0079695448776</v>
      </c>
      <c r="F125" s="15" t="s">
        <v>176</v>
      </c>
      <c r="G125" t="str">
        <f t="shared" si="10"/>
        <v>48567.3224</v>
      </c>
      <c r="H125" s="32">
        <f t="shared" si="11"/>
        <v>3449</v>
      </c>
      <c r="I125" s="78" t="s">
        <v>530</v>
      </c>
      <c r="J125" s="79" t="s">
        <v>531</v>
      </c>
      <c r="K125" s="78">
        <v>3449</v>
      </c>
      <c r="L125" s="78" t="s">
        <v>532</v>
      </c>
      <c r="M125" s="79" t="s">
        <v>533</v>
      </c>
      <c r="N125" s="79" t="s">
        <v>534</v>
      </c>
      <c r="O125" s="80" t="s">
        <v>535</v>
      </c>
      <c r="P125" s="81" t="s">
        <v>536</v>
      </c>
    </row>
    <row r="126" spans="1:16" ht="12.75" customHeight="1" x14ac:dyDescent="0.2">
      <c r="A126" s="32" t="str">
        <f t="shared" si="6"/>
        <v>IBVS 4097 </v>
      </c>
      <c r="B126" s="15" t="str">
        <f t="shared" si="7"/>
        <v>I</v>
      </c>
      <c r="C126" s="32">
        <f t="shared" si="8"/>
        <v>48567.323900000003</v>
      </c>
      <c r="D126" t="str">
        <f t="shared" si="9"/>
        <v>vis</v>
      </c>
      <c r="E126">
        <f>VLOOKUP(C126,Active!C$21:E$969,3,FALSE)</f>
        <v>3449.0097197853383</v>
      </c>
      <c r="F126" s="15" t="s">
        <v>176</v>
      </c>
      <c r="G126" t="str">
        <f t="shared" si="10"/>
        <v>48567.3239</v>
      </c>
      <c r="H126" s="32">
        <f t="shared" si="11"/>
        <v>3449</v>
      </c>
      <c r="I126" s="78" t="s">
        <v>537</v>
      </c>
      <c r="J126" s="79" t="s">
        <v>538</v>
      </c>
      <c r="K126" s="78">
        <v>3449</v>
      </c>
      <c r="L126" s="78" t="s">
        <v>539</v>
      </c>
      <c r="M126" s="79" t="s">
        <v>533</v>
      </c>
      <c r="N126" s="79" t="s">
        <v>540</v>
      </c>
      <c r="O126" s="80" t="s">
        <v>535</v>
      </c>
      <c r="P126" s="81" t="s">
        <v>536</v>
      </c>
    </row>
    <row r="127" spans="1:16" ht="12.75" customHeight="1" x14ac:dyDescent="0.2">
      <c r="A127" s="32" t="str">
        <f t="shared" si="6"/>
        <v>IBVS 4097 </v>
      </c>
      <c r="B127" s="15" t="str">
        <f t="shared" si="7"/>
        <v>I</v>
      </c>
      <c r="C127" s="32">
        <f t="shared" si="8"/>
        <v>48567.3246</v>
      </c>
      <c r="D127" t="str">
        <f t="shared" si="9"/>
        <v>vis</v>
      </c>
      <c r="E127">
        <f>VLOOKUP(C127,Active!C$21:E$969,3,FALSE)</f>
        <v>3449.010536564213</v>
      </c>
      <c r="F127" s="15" t="s">
        <v>176</v>
      </c>
      <c r="G127" t="str">
        <f t="shared" si="10"/>
        <v>48567.3246</v>
      </c>
      <c r="H127" s="32">
        <f t="shared" si="11"/>
        <v>3449</v>
      </c>
      <c r="I127" s="78" t="s">
        <v>541</v>
      </c>
      <c r="J127" s="79" t="s">
        <v>542</v>
      </c>
      <c r="K127" s="78">
        <v>3449</v>
      </c>
      <c r="L127" s="78" t="s">
        <v>543</v>
      </c>
      <c r="M127" s="79" t="s">
        <v>533</v>
      </c>
      <c r="N127" s="79" t="s">
        <v>544</v>
      </c>
      <c r="O127" s="80" t="s">
        <v>535</v>
      </c>
      <c r="P127" s="81" t="s">
        <v>536</v>
      </c>
    </row>
    <row r="128" spans="1:16" ht="12.75" customHeight="1" x14ac:dyDescent="0.2">
      <c r="A128" s="32" t="str">
        <f t="shared" si="6"/>
        <v> BBS 100 </v>
      </c>
      <c r="B128" s="15" t="str">
        <f t="shared" si="7"/>
        <v>I</v>
      </c>
      <c r="C128" s="32">
        <f t="shared" si="8"/>
        <v>48621.337</v>
      </c>
      <c r="D128" t="str">
        <f t="shared" si="9"/>
        <v>vis</v>
      </c>
      <c r="E128">
        <f>VLOOKUP(C128,Active!C$21:E$969,3,FALSE)</f>
        <v>3512.0336615578681</v>
      </c>
      <c r="F128" s="15" t="s">
        <v>176</v>
      </c>
      <c r="G128" t="str">
        <f t="shared" si="10"/>
        <v>48621.337</v>
      </c>
      <c r="H128" s="32">
        <f t="shared" si="11"/>
        <v>3512</v>
      </c>
      <c r="I128" s="78" t="s">
        <v>545</v>
      </c>
      <c r="J128" s="79" t="s">
        <v>546</v>
      </c>
      <c r="K128" s="78">
        <v>3512</v>
      </c>
      <c r="L128" s="78" t="s">
        <v>523</v>
      </c>
      <c r="M128" s="79" t="s">
        <v>220</v>
      </c>
      <c r="N128" s="79"/>
      <c r="O128" s="80" t="s">
        <v>293</v>
      </c>
      <c r="P128" s="80" t="s">
        <v>547</v>
      </c>
    </row>
    <row r="129" spans="1:16" ht="12.75" customHeight="1" x14ac:dyDescent="0.2">
      <c r="A129" s="32" t="str">
        <f t="shared" si="6"/>
        <v> BBS 100 </v>
      </c>
      <c r="B129" s="15" t="str">
        <f t="shared" si="7"/>
        <v>I</v>
      </c>
      <c r="C129" s="32">
        <f t="shared" si="8"/>
        <v>48651.324999999997</v>
      </c>
      <c r="D129" t="str">
        <f t="shared" si="9"/>
        <v>vis</v>
      </c>
      <c r="E129">
        <f>VLOOKUP(C129,Active!C$21:E$969,3,FALSE)</f>
        <v>3547.0244687115883</v>
      </c>
      <c r="F129" s="15" t="s">
        <v>176</v>
      </c>
      <c r="G129" t="str">
        <f t="shared" si="10"/>
        <v>48651.325</v>
      </c>
      <c r="H129" s="32">
        <f t="shared" si="11"/>
        <v>3547</v>
      </c>
      <c r="I129" s="78" t="s">
        <v>548</v>
      </c>
      <c r="J129" s="79" t="s">
        <v>549</v>
      </c>
      <c r="K129" s="78">
        <v>3547</v>
      </c>
      <c r="L129" s="78" t="s">
        <v>550</v>
      </c>
      <c r="M129" s="79" t="s">
        <v>220</v>
      </c>
      <c r="N129" s="79"/>
      <c r="O129" s="80" t="s">
        <v>312</v>
      </c>
      <c r="P129" s="80" t="s">
        <v>547</v>
      </c>
    </row>
    <row r="130" spans="1:16" ht="12.75" customHeight="1" x14ac:dyDescent="0.2">
      <c r="A130" s="32" t="str">
        <f t="shared" si="6"/>
        <v> BBS 101 </v>
      </c>
      <c r="B130" s="15" t="str">
        <f t="shared" si="7"/>
        <v>I</v>
      </c>
      <c r="C130" s="32">
        <f t="shared" si="8"/>
        <v>48699.317000000003</v>
      </c>
      <c r="D130" t="str">
        <f t="shared" si="9"/>
        <v>vis</v>
      </c>
      <c r="E130">
        <f>VLOOKUP(C130,Active!C$21:E$969,3,FALSE)</f>
        <v>3603.0228286196066</v>
      </c>
      <c r="F130" s="15" t="s">
        <v>176</v>
      </c>
      <c r="G130" t="str">
        <f t="shared" si="10"/>
        <v>48699.317</v>
      </c>
      <c r="H130" s="32">
        <f t="shared" si="11"/>
        <v>3603</v>
      </c>
      <c r="I130" s="78" t="s">
        <v>551</v>
      </c>
      <c r="J130" s="79" t="s">
        <v>552</v>
      </c>
      <c r="K130" s="78">
        <v>3603</v>
      </c>
      <c r="L130" s="78" t="s">
        <v>553</v>
      </c>
      <c r="M130" s="79" t="s">
        <v>220</v>
      </c>
      <c r="N130" s="79"/>
      <c r="O130" s="80" t="s">
        <v>312</v>
      </c>
      <c r="P130" s="80" t="s">
        <v>554</v>
      </c>
    </row>
    <row r="131" spans="1:16" ht="12.75" customHeight="1" x14ac:dyDescent="0.2">
      <c r="A131" s="32" t="str">
        <f t="shared" si="6"/>
        <v> BBS 102 </v>
      </c>
      <c r="B131" s="15" t="str">
        <f t="shared" si="7"/>
        <v>I</v>
      </c>
      <c r="C131" s="32">
        <f t="shared" si="8"/>
        <v>48860.432999999997</v>
      </c>
      <c r="D131" t="str">
        <f t="shared" si="9"/>
        <v>vis</v>
      </c>
      <c r="E131">
        <f>VLOOKUP(C131,Active!C$21:E$969,3,FALSE)</f>
        <v>3791.0173225964977</v>
      </c>
      <c r="F131" s="15" t="s">
        <v>176</v>
      </c>
      <c r="G131" t="str">
        <f t="shared" si="10"/>
        <v>48860.433</v>
      </c>
      <c r="H131" s="32">
        <f t="shared" si="11"/>
        <v>3791</v>
      </c>
      <c r="I131" s="78" t="s">
        <v>555</v>
      </c>
      <c r="J131" s="79" t="s">
        <v>556</v>
      </c>
      <c r="K131" s="78">
        <v>3791</v>
      </c>
      <c r="L131" s="78" t="s">
        <v>461</v>
      </c>
      <c r="M131" s="79" t="s">
        <v>220</v>
      </c>
      <c r="N131" s="79"/>
      <c r="O131" s="80" t="s">
        <v>312</v>
      </c>
      <c r="P131" s="80" t="s">
        <v>557</v>
      </c>
    </row>
    <row r="132" spans="1:16" ht="12.75" customHeight="1" x14ac:dyDescent="0.2">
      <c r="A132" s="32" t="str">
        <f t="shared" si="6"/>
        <v> BBS 102 </v>
      </c>
      <c r="B132" s="15" t="str">
        <f t="shared" si="7"/>
        <v>I</v>
      </c>
      <c r="C132" s="32">
        <f t="shared" si="8"/>
        <v>48872.432000000001</v>
      </c>
      <c r="D132" t="str">
        <f t="shared" si="9"/>
        <v>vis</v>
      </c>
      <c r="E132">
        <f>VLOOKUP(C132,Active!C$21:E$969,3,FALSE)</f>
        <v>3805.0180794004741</v>
      </c>
      <c r="F132" s="15" t="s">
        <v>176</v>
      </c>
      <c r="G132" t="str">
        <f t="shared" si="10"/>
        <v>48872.432</v>
      </c>
      <c r="H132" s="32">
        <f t="shared" si="11"/>
        <v>3805</v>
      </c>
      <c r="I132" s="78" t="s">
        <v>558</v>
      </c>
      <c r="J132" s="79" t="s">
        <v>559</v>
      </c>
      <c r="K132" s="78">
        <v>3805</v>
      </c>
      <c r="L132" s="78" t="s">
        <v>461</v>
      </c>
      <c r="M132" s="79" t="s">
        <v>220</v>
      </c>
      <c r="N132" s="79"/>
      <c r="O132" s="80" t="s">
        <v>312</v>
      </c>
      <c r="P132" s="80" t="s">
        <v>557</v>
      </c>
    </row>
    <row r="133" spans="1:16" ht="12.75" customHeight="1" x14ac:dyDescent="0.2">
      <c r="A133" s="32" t="str">
        <f t="shared" si="6"/>
        <v> BBS 103 </v>
      </c>
      <c r="B133" s="15" t="str">
        <f t="shared" si="7"/>
        <v>I</v>
      </c>
      <c r="C133" s="32">
        <f t="shared" si="8"/>
        <v>49005.267</v>
      </c>
      <c r="D133" t="str">
        <f t="shared" si="9"/>
        <v>vis</v>
      </c>
      <c r="E133">
        <f>VLOOKUP(C133,Active!C$21:E$969,3,FALSE)</f>
        <v>3960.0135398601492</v>
      </c>
      <c r="F133" s="15" t="s">
        <v>176</v>
      </c>
      <c r="G133" t="str">
        <f t="shared" si="10"/>
        <v>49005.267</v>
      </c>
      <c r="H133" s="32">
        <f t="shared" si="11"/>
        <v>3960</v>
      </c>
      <c r="I133" s="78" t="s">
        <v>560</v>
      </c>
      <c r="J133" s="79" t="s">
        <v>561</v>
      </c>
      <c r="K133" s="78">
        <v>3960</v>
      </c>
      <c r="L133" s="78" t="s">
        <v>308</v>
      </c>
      <c r="M133" s="79" t="s">
        <v>220</v>
      </c>
      <c r="N133" s="79"/>
      <c r="O133" s="80" t="s">
        <v>312</v>
      </c>
      <c r="P133" s="80" t="s">
        <v>562</v>
      </c>
    </row>
    <row r="134" spans="1:16" ht="12.75" customHeight="1" x14ac:dyDescent="0.2">
      <c r="A134" s="32" t="str">
        <f t="shared" si="6"/>
        <v> BBS 105 </v>
      </c>
      <c r="B134" s="15" t="str">
        <f t="shared" si="7"/>
        <v>I</v>
      </c>
      <c r="C134" s="32">
        <f t="shared" si="8"/>
        <v>49250.368999999999</v>
      </c>
      <c r="D134" t="str">
        <f t="shared" si="9"/>
        <v>vis</v>
      </c>
      <c r="E134">
        <f>VLOOKUP(C134,Active!C$21:E$969,3,FALSE)</f>
        <v>4246.0051636760663</v>
      </c>
      <c r="F134" s="15" t="s">
        <v>176</v>
      </c>
      <c r="G134" t="str">
        <f t="shared" si="10"/>
        <v>49250.369</v>
      </c>
      <c r="H134" s="32">
        <f t="shared" si="11"/>
        <v>4246</v>
      </c>
      <c r="I134" s="78" t="s">
        <v>563</v>
      </c>
      <c r="J134" s="79" t="s">
        <v>564</v>
      </c>
      <c r="K134" s="78">
        <v>4246</v>
      </c>
      <c r="L134" s="78" t="s">
        <v>219</v>
      </c>
      <c r="M134" s="79" t="s">
        <v>220</v>
      </c>
      <c r="N134" s="79"/>
      <c r="O134" s="80" t="s">
        <v>312</v>
      </c>
      <c r="P134" s="80" t="s">
        <v>565</v>
      </c>
    </row>
    <row r="135" spans="1:16" ht="12.75" customHeight="1" x14ac:dyDescent="0.2">
      <c r="A135" s="32" t="str">
        <f t="shared" si="6"/>
        <v> BRNO 31 </v>
      </c>
      <c r="B135" s="15" t="str">
        <f t="shared" si="7"/>
        <v>I</v>
      </c>
      <c r="C135" s="32">
        <f t="shared" si="8"/>
        <v>49688.322</v>
      </c>
      <c r="D135" t="str">
        <f t="shared" si="9"/>
        <v>vis</v>
      </c>
      <c r="E135">
        <f>VLOOKUP(C135,Active!C$21:E$969,3,FALSE)</f>
        <v>4757.0205353378778</v>
      </c>
      <c r="F135" s="15" t="s">
        <v>176</v>
      </c>
      <c r="G135" t="str">
        <f t="shared" si="10"/>
        <v>49688.322</v>
      </c>
      <c r="H135" s="32">
        <f t="shared" si="11"/>
        <v>4757</v>
      </c>
      <c r="I135" s="78" t="s">
        <v>566</v>
      </c>
      <c r="J135" s="79" t="s">
        <v>567</v>
      </c>
      <c r="K135" s="78">
        <v>4757</v>
      </c>
      <c r="L135" s="78" t="s">
        <v>196</v>
      </c>
      <c r="M135" s="79" t="s">
        <v>220</v>
      </c>
      <c r="N135" s="79"/>
      <c r="O135" s="80" t="s">
        <v>568</v>
      </c>
      <c r="P135" s="80" t="s">
        <v>513</v>
      </c>
    </row>
    <row r="136" spans="1:16" ht="12.75" customHeight="1" x14ac:dyDescent="0.2">
      <c r="A136" s="32" t="str">
        <f t="shared" si="6"/>
        <v> BBS 108 </v>
      </c>
      <c r="B136" s="15" t="str">
        <f t="shared" si="7"/>
        <v>I</v>
      </c>
      <c r="C136" s="32">
        <f t="shared" si="8"/>
        <v>49778.303</v>
      </c>
      <c r="D136" t="str">
        <f t="shared" si="9"/>
        <v>vis</v>
      </c>
      <c r="E136">
        <f>VLOOKUP(C136,Active!C$21:E$969,3,FALSE)</f>
        <v>4862.0127928575239</v>
      </c>
      <c r="F136" s="15" t="s">
        <v>176</v>
      </c>
      <c r="G136" t="str">
        <f t="shared" si="10"/>
        <v>49778.303</v>
      </c>
      <c r="H136" s="32">
        <f t="shared" si="11"/>
        <v>4862</v>
      </c>
      <c r="I136" s="78" t="s">
        <v>569</v>
      </c>
      <c r="J136" s="79" t="s">
        <v>570</v>
      </c>
      <c r="K136" s="78">
        <v>4862</v>
      </c>
      <c r="L136" s="78" t="s">
        <v>269</v>
      </c>
      <c r="M136" s="79" t="s">
        <v>220</v>
      </c>
      <c r="N136" s="79"/>
      <c r="O136" s="80" t="s">
        <v>312</v>
      </c>
      <c r="P136" s="80" t="s">
        <v>571</v>
      </c>
    </row>
    <row r="137" spans="1:16" ht="12.75" customHeight="1" x14ac:dyDescent="0.2">
      <c r="A137" s="32" t="str">
        <f t="shared" si="6"/>
        <v> BBS 108 </v>
      </c>
      <c r="B137" s="15" t="str">
        <f t="shared" si="7"/>
        <v>I</v>
      </c>
      <c r="C137" s="32">
        <f t="shared" si="8"/>
        <v>49784.29</v>
      </c>
      <c r="D137" t="str">
        <f t="shared" si="9"/>
        <v>vis</v>
      </c>
      <c r="E137">
        <f>VLOOKUP(C137,Active!C$21:E$969,3,FALSE)</f>
        <v>4868.9985859223953</v>
      </c>
      <c r="F137" s="15" t="s">
        <v>176</v>
      </c>
      <c r="G137" t="str">
        <f t="shared" si="10"/>
        <v>49784.290</v>
      </c>
      <c r="H137" s="32">
        <f t="shared" si="11"/>
        <v>4869</v>
      </c>
      <c r="I137" s="78" t="s">
        <v>572</v>
      </c>
      <c r="J137" s="79" t="s">
        <v>573</v>
      </c>
      <c r="K137" s="78">
        <v>4869</v>
      </c>
      <c r="L137" s="78" t="s">
        <v>216</v>
      </c>
      <c r="M137" s="79" t="s">
        <v>220</v>
      </c>
      <c r="N137" s="79"/>
      <c r="O137" s="80" t="s">
        <v>312</v>
      </c>
      <c r="P137" s="80" t="s">
        <v>571</v>
      </c>
    </row>
    <row r="138" spans="1:16" ht="12.75" customHeight="1" x14ac:dyDescent="0.2">
      <c r="A138" s="32" t="str">
        <f t="shared" si="6"/>
        <v> BBS 110 </v>
      </c>
      <c r="B138" s="15" t="str">
        <f t="shared" si="7"/>
        <v>I</v>
      </c>
      <c r="C138" s="32">
        <f t="shared" si="8"/>
        <v>49993.415999999997</v>
      </c>
      <c r="D138" t="str">
        <f t="shared" si="9"/>
        <v>vis</v>
      </c>
      <c r="E138">
        <f>VLOOKUP(C138,Active!C$21:E$969,3,FALSE)</f>
        <v>5113.0124426927468</v>
      </c>
      <c r="F138" s="15" t="s">
        <v>176</v>
      </c>
      <c r="G138" t="str">
        <f t="shared" si="10"/>
        <v>49993.416</v>
      </c>
      <c r="H138" s="32">
        <f t="shared" si="11"/>
        <v>5113</v>
      </c>
      <c r="I138" s="78" t="s">
        <v>574</v>
      </c>
      <c r="J138" s="79" t="s">
        <v>575</v>
      </c>
      <c r="K138" s="78">
        <v>5113</v>
      </c>
      <c r="L138" s="78" t="s">
        <v>269</v>
      </c>
      <c r="M138" s="79" t="s">
        <v>220</v>
      </c>
      <c r="N138" s="79"/>
      <c r="O138" s="80" t="s">
        <v>312</v>
      </c>
      <c r="P138" s="80" t="s">
        <v>576</v>
      </c>
    </row>
    <row r="139" spans="1:16" ht="12.75" customHeight="1" x14ac:dyDescent="0.2">
      <c r="A139" s="32" t="str">
        <f t="shared" ref="A139:A202" si="12">P139</f>
        <v> BBS 110 </v>
      </c>
      <c r="B139" s="15" t="str">
        <f t="shared" ref="B139:B202" si="13">IF(H139=INT(H139),"I","II")</f>
        <v>I</v>
      </c>
      <c r="C139" s="32">
        <f t="shared" ref="C139:C202" si="14">1*G139</f>
        <v>50017.406000000003</v>
      </c>
      <c r="D139" t="str">
        <f t="shared" ref="D139:D202" si="15">VLOOKUP(F139,I$1:J$5,2,FALSE)</f>
        <v>vis</v>
      </c>
      <c r="E139">
        <f>VLOOKUP(C139,Active!C$21:E$969,3,FALSE)</f>
        <v>5141.0046216849441</v>
      </c>
      <c r="F139" s="15" t="s">
        <v>176</v>
      </c>
      <c r="G139" t="str">
        <f t="shared" ref="G139:G202" si="16">MID(I139,3,LEN(I139)-3)</f>
        <v>50017.406</v>
      </c>
      <c r="H139" s="32">
        <f t="shared" ref="H139:H202" si="17">1*K139</f>
        <v>5141</v>
      </c>
      <c r="I139" s="78" t="s">
        <v>577</v>
      </c>
      <c r="J139" s="79" t="s">
        <v>578</v>
      </c>
      <c r="K139" s="78">
        <v>5141</v>
      </c>
      <c r="L139" s="78" t="s">
        <v>219</v>
      </c>
      <c r="M139" s="79" t="s">
        <v>220</v>
      </c>
      <c r="N139" s="79"/>
      <c r="O139" s="80" t="s">
        <v>312</v>
      </c>
      <c r="P139" s="80" t="s">
        <v>576</v>
      </c>
    </row>
    <row r="140" spans="1:16" ht="12.75" customHeight="1" x14ac:dyDescent="0.2">
      <c r="A140" s="32" t="str">
        <f t="shared" si="12"/>
        <v> BRNO 32 </v>
      </c>
      <c r="B140" s="15" t="str">
        <f t="shared" si="13"/>
        <v>I</v>
      </c>
      <c r="C140" s="32">
        <f t="shared" si="14"/>
        <v>50316.507799999999</v>
      </c>
      <c r="D140" t="str">
        <f t="shared" si="15"/>
        <v>vis</v>
      </c>
      <c r="E140">
        <f>VLOOKUP(C140,Active!C$21:E$969,3,FALSE)</f>
        <v>5490.0046684747012</v>
      </c>
      <c r="F140" s="15" t="s">
        <v>176</v>
      </c>
      <c r="G140" t="str">
        <f t="shared" si="16"/>
        <v>50316.5078</v>
      </c>
      <c r="H140" s="32">
        <f t="shared" si="17"/>
        <v>5490</v>
      </c>
      <c r="I140" s="78" t="s">
        <v>579</v>
      </c>
      <c r="J140" s="79" t="s">
        <v>580</v>
      </c>
      <c r="K140" s="78">
        <v>5490</v>
      </c>
      <c r="L140" s="78" t="s">
        <v>581</v>
      </c>
      <c r="M140" s="79" t="s">
        <v>220</v>
      </c>
      <c r="N140" s="79"/>
      <c r="O140" s="80" t="s">
        <v>582</v>
      </c>
      <c r="P140" s="80" t="s">
        <v>583</v>
      </c>
    </row>
    <row r="141" spans="1:16" ht="12.75" customHeight="1" x14ac:dyDescent="0.2">
      <c r="A141" s="32" t="str">
        <f t="shared" si="12"/>
        <v> BRNO 32 </v>
      </c>
      <c r="B141" s="15" t="str">
        <f t="shared" si="13"/>
        <v>I</v>
      </c>
      <c r="C141" s="32">
        <f t="shared" si="14"/>
        <v>50485.3482</v>
      </c>
      <c r="D141" t="str">
        <f t="shared" si="15"/>
        <v>vis</v>
      </c>
      <c r="E141">
        <f>VLOOKUP(C141,Active!C$21:E$969,3,FALSE)</f>
        <v>5687.0122006928377</v>
      </c>
      <c r="F141" s="15" t="s">
        <v>176</v>
      </c>
      <c r="G141" t="str">
        <f t="shared" si="16"/>
        <v>50485.3482</v>
      </c>
      <c r="H141" s="32">
        <f t="shared" si="17"/>
        <v>5687</v>
      </c>
      <c r="I141" s="78" t="s">
        <v>584</v>
      </c>
      <c r="J141" s="79" t="s">
        <v>585</v>
      </c>
      <c r="K141" s="78">
        <v>5687</v>
      </c>
      <c r="L141" s="78" t="s">
        <v>586</v>
      </c>
      <c r="M141" s="79" t="s">
        <v>220</v>
      </c>
      <c r="N141" s="79"/>
      <c r="O141" s="80" t="s">
        <v>587</v>
      </c>
      <c r="P141" s="80" t="s">
        <v>583</v>
      </c>
    </row>
    <row r="142" spans="1:16" ht="12.75" customHeight="1" x14ac:dyDescent="0.2">
      <c r="A142" s="32" t="str">
        <f t="shared" si="12"/>
        <v> BRNO 32 </v>
      </c>
      <c r="B142" s="15" t="str">
        <f t="shared" si="13"/>
        <v>I</v>
      </c>
      <c r="C142" s="32">
        <f t="shared" si="14"/>
        <v>50491.3462</v>
      </c>
      <c r="D142" t="str">
        <f t="shared" si="15"/>
        <v>vis</v>
      </c>
      <c r="E142">
        <f>VLOOKUP(C142,Active!C$21:E$969,3,FALSE)</f>
        <v>5694.0108288543688</v>
      </c>
      <c r="F142" s="15" t="s">
        <v>176</v>
      </c>
      <c r="G142" t="str">
        <f t="shared" si="16"/>
        <v>50491.3462</v>
      </c>
      <c r="H142" s="32">
        <f t="shared" si="17"/>
        <v>5694</v>
      </c>
      <c r="I142" s="78" t="s">
        <v>588</v>
      </c>
      <c r="J142" s="79" t="s">
        <v>589</v>
      </c>
      <c r="K142" s="78">
        <v>5694</v>
      </c>
      <c r="L142" s="78" t="s">
        <v>590</v>
      </c>
      <c r="M142" s="79" t="s">
        <v>220</v>
      </c>
      <c r="N142" s="79"/>
      <c r="O142" s="80" t="s">
        <v>587</v>
      </c>
      <c r="P142" s="80" t="s">
        <v>583</v>
      </c>
    </row>
    <row r="143" spans="1:16" ht="12.75" customHeight="1" x14ac:dyDescent="0.2">
      <c r="A143" s="32" t="str">
        <f t="shared" si="12"/>
        <v> BBS 114 </v>
      </c>
      <c r="B143" s="15" t="str">
        <f t="shared" si="13"/>
        <v>I</v>
      </c>
      <c r="C143" s="32">
        <f t="shared" si="14"/>
        <v>50509.351000000002</v>
      </c>
      <c r="D143" t="str">
        <f t="shared" si="15"/>
        <v>vis</v>
      </c>
      <c r="E143">
        <f>VLOOKUP(C143,Active!C$21:E$969,3,FALSE)</f>
        <v>5715.0193150702362</v>
      </c>
      <c r="F143" s="15" t="s">
        <v>176</v>
      </c>
      <c r="G143" t="str">
        <f t="shared" si="16"/>
        <v>50509.351</v>
      </c>
      <c r="H143" s="32">
        <f t="shared" si="17"/>
        <v>5715</v>
      </c>
      <c r="I143" s="78" t="s">
        <v>591</v>
      </c>
      <c r="J143" s="79" t="s">
        <v>592</v>
      </c>
      <c r="K143" s="78">
        <v>5715</v>
      </c>
      <c r="L143" s="78" t="s">
        <v>311</v>
      </c>
      <c r="M143" s="79" t="s">
        <v>220</v>
      </c>
      <c r="N143" s="79"/>
      <c r="O143" s="80" t="s">
        <v>293</v>
      </c>
      <c r="P143" s="80" t="s">
        <v>593</v>
      </c>
    </row>
    <row r="144" spans="1:16" ht="12.75" customHeight="1" x14ac:dyDescent="0.2">
      <c r="A144" s="32" t="str">
        <f t="shared" si="12"/>
        <v> BBS 114 </v>
      </c>
      <c r="B144" s="15" t="str">
        <f t="shared" si="13"/>
        <v>I</v>
      </c>
      <c r="C144" s="32">
        <f t="shared" si="14"/>
        <v>50509.351000000002</v>
      </c>
      <c r="D144" t="str">
        <f t="shared" si="15"/>
        <v>vis</v>
      </c>
      <c r="E144">
        <f>VLOOKUP(C144,Active!C$21:E$969,3,FALSE)</f>
        <v>5715.0193150702362</v>
      </c>
      <c r="F144" s="15" t="s">
        <v>176</v>
      </c>
      <c r="G144" t="str">
        <f t="shared" si="16"/>
        <v>50509.351</v>
      </c>
      <c r="H144" s="32">
        <f t="shared" si="17"/>
        <v>5715</v>
      </c>
      <c r="I144" s="78" t="s">
        <v>591</v>
      </c>
      <c r="J144" s="79" t="s">
        <v>592</v>
      </c>
      <c r="K144" s="78">
        <v>5715</v>
      </c>
      <c r="L144" s="78" t="s">
        <v>311</v>
      </c>
      <c r="M144" s="79" t="s">
        <v>220</v>
      </c>
      <c r="N144" s="79"/>
      <c r="O144" s="80" t="s">
        <v>312</v>
      </c>
      <c r="P144" s="80" t="s">
        <v>593</v>
      </c>
    </row>
    <row r="145" spans="1:16" ht="12.75" customHeight="1" x14ac:dyDescent="0.2">
      <c r="A145" s="32" t="str">
        <f t="shared" si="12"/>
        <v> BRNO 32 </v>
      </c>
      <c r="B145" s="15" t="str">
        <f t="shared" si="13"/>
        <v>I</v>
      </c>
      <c r="C145" s="32">
        <f t="shared" si="14"/>
        <v>50515.339</v>
      </c>
      <c r="D145" t="str">
        <f t="shared" si="15"/>
        <v>vis</v>
      </c>
      <c r="E145">
        <f>VLOOKUP(C145,Active!C$21:E$969,3,FALSE)</f>
        <v>5722.0062749620738</v>
      </c>
      <c r="F145" s="15" t="s">
        <v>176</v>
      </c>
      <c r="G145" t="str">
        <f t="shared" si="16"/>
        <v>50515.3390</v>
      </c>
      <c r="H145" s="32">
        <f t="shared" si="17"/>
        <v>5722</v>
      </c>
      <c r="I145" s="78" t="s">
        <v>594</v>
      </c>
      <c r="J145" s="79" t="s">
        <v>595</v>
      </c>
      <c r="K145" s="78">
        <v>5722</v>
      </c>
      <c r="L145" s="78" t="s">
        <v>596</v>
      </c>
      <c r="M145" s="79" t="s">
        <v>220</v>
      </c>
      <c r="N145" s="79"/>
      <c r="O145" s="80" t="s">
        <v>479</v>
      </c>
      <c r="P145" s="80" t="s">
        <v>583</v>
      </c>
    </row>
    <row r="146" spans="1:16" ht="12.75" customHeight="1" x14ac:dyDescent="0.2">
      <c r="A146" s="32" t="str">
        <f t="shared" si="12"/>
        <v> BRNO 32 </v>
      </c>
      <c r="B146" s="15" t="str">
        <f t="shared" si="13"/>
        <v>I</v>
      </c>
      <c r="C146" s="32">
        <f t="shared" si="14"/>
        <v>50670.460899999998</v>
      </c>
      <c r="D146" t="str">
        <f t="shared" si="15"/>
        <v>vis</v>
      </c>
      <c r="E146">
        <f>VLOOKUP(C146,Active!C$21:E$969,3,FALSE)</f>
        <v>5903.0066914026165</v>
      </c>
      <c r="F146" s="15" t="s">
        <v>176</v>
      </c>
      <c r="G146" t="str">
        <f t="shared" si="16"/>
        <v>50670.4609</v>
      </c>
      <c r="H146" s="32">
        <f t="shared" si="17"/>
        <v>5903</v>
      </c>
      <c r="I146" s="78" t="s">
        <v>597</v>
      </c>
      <c r="J146" s="79" t="s">
        <v>598</v>
      </c>
      <c r="K146" s="78">
        <v>5903</v>
      </c>
      <c r="L146" s="78" t="s">
        <v>599</v>
      </c>
      <c r="M146" s="79" t="s">
        <v>220</v>
      </c>
      <c r="N146" s="79"/>
      <c r="O146" s="80" t="s">
        <v>351</v>
      </c>
      <c r="P146" s="80" t="s">
        <v>583</v>
      </c>
    </row>
    <row r="147" spans="1:16" ht="12.75" customHeight="1" x14ac:dyDescent="0.2">
      <c r="A147" s="32" t="str">
        <f t="shared" si="12"/>
        <v> BRNO 32 </v>
      </c>
      <c r="B147" s="15" t="str">
        <f t="shared" si="13"/>
        <v>I</v>
      </c>
      <c r="C147" s="32">
        <f t="shared" si="14"/>
        <v>50670.472800000003</v>
      </c>
      <c r="D147" t="str">
        <f t="shared" si="15"/>
        <v>vis</v>
      </c>
      <c r="E147">
        <f>VLOOKUP(C147,Active!C$21:E$969,3,FALSE)</f>
        <v>5903.0205766435565</v>
      </c>
      <c r="F147" s="15" t="s">
        <v>176</v>
      </c>
      <c r="G147" t="str">
        <f t="shared" si="16"/>
        <v>50670.4728</v>
      </c>
      <c r="H147" s="32">
        <f t="shared" si="17"/>
        <v>5903</v>
      </c>
      <c r="I147" s="78" t="s">
        <v>600</v>
      </c>
      <c r="J147" s="79" t="s">
        <v>601</v>
      </c>
      <c r="K147" s="78">
        <v>5903</v>
      </c>
      <c r="L147" s="78" t="s">
        <v>602</v>
      </c>
      <c r="M147" s="79" t="s">
        <v>220</v>
      </c>
      <c r="N147" s="79"/>
      <c r="O147" s="80" t="s">
        <v>603</v>
      </c>
      <c r="P147" s="80" t="s">
        <v>583</v>
      </c>
    </row>
    <row r="148" spans="1:16" ht="12.75" customHeight="1" x14ac:dyDescent="0.2">
      <c r="A148" s="32" t="str">
        <f t="shared" si="12"/>
        <v> BRNO 32 </v>
      </c>
      <c r="B148" s="15" t="str">
        <f t="shared" si="13"/>
        <v>I</v>
      </c>
      <c r="C148" s="32">
        <f t="shared" si="14"/>
        <v>50694.467100000002</v>
      </c>
      <c r="D148" t="str">
        <f t="shared" si="15"/>
        <v>vis</v>
      </c>
      <c r="E148">
        <f>VLOOKUP(C148,Active!C$21:E$969,3,FALSE)</f>
        <v>5931.0177729917132</v>
      </c>
      <c r="F148" s="15" t="s">
        <v>176</v>
      </c>
      <c r="G148" t="str">
        <f t="shared" si="16"/>
        <v>50694.4671</v>
      </c>
      <c r="H148" s="32">
        <f t="shared" si="17"/>
        <v>5931</v>
      </c>
      <c r="I148" s="78" t="s">
        <v>604</v>
      </c>
      <c r="J148" s="79" t="s">
        <v>605</v>
      </c>
      <c r="K148" s="78">
        <v>5931</v>
      </c>
      <c r="L148" s="78" t="s">
        <v>606</v>
      </c>
      <c r="M148" s="79" t="s">
        <v>220</v>
      </c>
      <c r="N148" s="79"/>
      <c r="O148" s="80" t="s">
        <v>607</v>
      </c>
      <c r="P148" s="80" t="s">
        <v>583</v>
      </c>
    </row>
    <row r="149" spans="1:16" ht="12.75" customHeight="1" x14ac:dyDescent="0.2">
      <c r="A149" s="32" t="str">
        <f t="shared" si="12"/>
        <v> BBS 116 </v>
      </c>
      <c r="B149" s="15" t="str">
        <f t="shared" si="13"/>
        <v>I</v>
      </c>
      <c r="C149" s="32">
        <f t="shared" si="14"/>
        <v>50700.459000000003</v>
      </c>
      <c r="D149" t="str">
        <f t="shared" si="15"/>
        <v>vis</v>
      </c>
      <c r="E149">
        <f>VLOOKUP(C149,Active!C$21:E$969,3,FALSE)</f>
        <v>5938.0092835087344</v>
      </c>
      <c r="F149" s="15" t="s">
        <v>176</v>
      </c>
      <c r="G149" t="str">
        <f t="shared" si="16"/>
        <v>50700.459</v>
      </c>
      <c r="H149" s="32">
        <f t="shared" si="17"/>
        <v>5938</v>
      </c>
      <c r="I149" s="78" t="s">
        <v>608</v>
      </c>
      <c r="J149" s="79" t="s">
        <v>609</v>
      </c>
      <c r="K149" s="78">
        <v>5938</v>
      </c>
      <c r="L149" s="78" t="s">
        <v>360</v>
      </c>
      <c r="M149" s="79" t="s">
        <v>220</v>
      </c>
      <c r="N149" s="79"/>
      <c r="O149" s="80" t="s">
        <v>312</v>
      </c>
      <c r="P149" s="80" t="s">
        <v>610</v>
      </c>
    </row>
    <row r="150" spans="1:16" ht="12.75" customHeight="1" x14ac:dyDescent="0.2">
      <c r="A150" s="32" t="str">
        <f t="shared" si="12"/>
        <v> BBS 116 </v>
      </c>
      <c r="B150" s="15" t="str">
        <f t="shared" si="13"/>
        <v>I</v>
      </c>
      <c r="C150" s="32">
        <f t="shared" si="14"/>
        <v>50731.32</v>
      </c>
      <c r="D150" t="str">
        <f t="shared" si="15"/>
        <v>vis</v>
      </c>
      <c r="E150">
        <f>VLOOKUP(C150,Active!C$21:E$969,3,FALSE)</f>
        <v>5974.0187306066045</v>
      </c>
      <c r="F150" s="15" t="s">
        <v>176</v>
      </c>
      <c r="G150" t="str">
        <f t="shared" si="16"/>
        <v>50731.320</v>
      </c>
      <c r="H150" s="32">
        <f t="shared" si="17"/>
        <v>5974</v>
      </c>
      <c r="I150" s="78" t="s">
        <v>611</v>
      </c>
      <c r="J150" s="79" t="s">
        <v>612</v>
      </c>
      <c r="K150" s="78">
        <v>5974</v>
      </c>
      <c r="L150" s="78" t="s">
        <v>188</v>
      </c>
      <c r="M150" s="79" t="s">
        <v>220</v>
      </c>
      <c r="N150" s="79"/>
      <c r="O150" s="80" t="s">
        <v>312</v>
      </c>
      <c r="P150" s="80" t="s">
        <v>610</v>
      </c>
    </row>
    <row r="151" spans="1:16" ht="12.75" customHeight="1" x14ac:dyDescent="0.2">
      <c r="A151" s="32" t="str">
        <f t="shared" si="12"/>
        <v>BAVM 113 </v>
      </c>
      <c r="B151" s="15" t="str">
        <f t="shared" si="13"/>
        <v>I</v>
      </c>
      <c r="C151" s="32">
        <f t="shared" si="14"/>
        <v>50743.311999999998</v>
      </c>
      <c r="D151" t="str">
        <f t="shared" si="15"/>
        <v>vis</v>
      </c>
      <c r="E151">
        <f>VLOOKUP(C151,Active!C$21:E$969,3,FALSE)</f>
        <v>5988.0113196217899</v>
      </c>
      <c r="F151" s="15" t="s">
        <v>176</v>
      </c>
      <c r="G151" t="str">
        <f t="shared" si="16"/>
        <v>50743.312</v>
      </c>
      <c r="H151" s="32">
        <f t="shared" si="17"/>
        <v>5988</v>
      </c>
      <c r="I151" s="78" t="s">
        <v>613</v>
      </c>
      <c r="J151" s="79" t="s">
        <v>614</v>
      </c>
      <c r="K151" s="78">
        <v>5988</v>
      </c>
      <c r="L151" s="78" t="s">
        <v>319</v>
      </c>
      <c r="M151" s="79" t="s">
        <v>470</v>
      </c>
      <c r="N151" s="79"/>
      <c r="O151" s="80" t="s">
        <v>615</v>
      </c>
      <c r="P151" s="81" t="s">
        <v>616</v>
      </c>
    </row>
    <row r="152" spans="1:16" ht="12.75" customHeight="1" x14ac:dyDescent="0.2">
      <c r="A152" s="32" t="str">
        <f t="shared" si="12"/>
        <v> BBS 116 </v>
      </c>
      <c r="B152" s="15" t="str">
        <f t="shared" si="13"/>
        <v>I</v>
      </c>
      <c r="C152" s="32">
        <f t="shared" si="14"/>
        <v>50755.311999999998</v>
      </c>
      <c r="D152" t="str">
        <f t="shared" si="15"/>
        <v>vis</v>
      </c>
      <c r="E152">
        <f>VLOOKUP(C152,Active!C$21:E$969,3,FALSE)</f>
        <v>6002.0132432527316</v>
      </c>
      <c r="F152" s="15" t="s">
        <v>176</v>
      </c>
      <c r="G152" t="str">
        <f t="shared" si="16"/>
        <v>50755.312</v>
      </c>
      <c r="H152" s="32">
        <f t="shared" si="17"/>
        <v>6002</v>
      </c>
      <c r="I152" s="78" t="s">
        <v>617</v>
      </c>
      <c r="J152" s="79" t="s">
        <v>618</v>
      </c>
      <c r="K152" s="78">
        <v>6002</v>
      </c>
      <c r="L152" s="78" t="s">
        <v>269</v>
      </c>
      <c r="M152" s="79" t="s">
        <v>220</v>
      </c>
      <c r="N152" s="79"/>
      <c r="O152" s="80" t="s">
        <v>312</v>
      </c>
      <c r="P152" s="80" t="s">
        <v>610</v>
      </c>
    </row>
    <row r="153" spans="1:16" ht="12.75" customHeight="1" x14ac:dyDescent="0.2">
      <c r="A153" s="32" t="str">
        <f t="shared" si="12"/>
        <v> BBS 117 </v>
      </c>
      <c r="B153" s="15" t="str">
        <f t="shared" si="13"/>
        <v>I</v>
      </c>
      <c r="C153" s="32">
        <f t="shared" si="14"/>
        <v>50875.286999999997</v>
      </c>
      <c r="D153" t="str">
        <f t="shared" si="15"/>
        <v>vis</v>
      </c>
      <c r="E153">
        <f>VLOOKUP(C153,Active!C$21:E$969,3,FALSE)</f>
        <v>6142.0033088879136</v>
      </c>
      <c r="F153" s="15" t="s">
        <v>176</v>
      </c>
      <c r="G153" t="str">
        <f t="shared" si="16"/>
        <v>50875.287</v>
      </c>
      <c r="H153" s="32">
        <f t="shared" si="17"/>
        <v>6142</v>
      </c>
      <c r="I153" s="78" t="s">
        <v>619</v>
      </c>
      <c r="J153" s="79" t="s">
        <v>620</v>
      </c>
      <c r="K153" s="78">
        <v>6142</v>
      </c>
      <c r="L153" s="78" t="s">
        <v>277</v>
      </c>
      <c r="M153" s="79" t="s">
        <v>220</v>
      </c>
      <c r="N153" s="79"/>
      <c r="O153" s="80" t="s">
        <v>312</v>
      </c>
      <c r="P153" s="80" t="s">
        <v>621</v>
      </c>
    </row>
    <row r="154" spans="1:16" ht="12.75" customHeight="1" x14ac:dyDescent="0.2">
      <c r="A154" s="32" t="str">
        <f t="shared" si="12"/>
        <v>BAVM 152 </v>
      </c>
      <c r="B154" s="15" t="str">
        <f t="shared" si="13"/>
        <v>I</v>
      </c>
      <c r="C154" s="32">
        <f t="shared" si="14"/>
        <v>51906.298300000002</v>
      </c>
      <c r="D154" t="str">
        <f t="shared" si="15"/>
        <v>vis</v>
      </c>
      <c r="E154">
        <f>VLOOKUP(C154,Active!C$21:E$969,3,FALSE)</f>
        <v>7345.015099324396</v>
      </c>
      <c r="F154" s="15" t="s">
        <v>176</v>
      </c>
      <c r="G154" t="str">
        <f t="shared" si="16"/>
        <v>51906.2983</v>
      </c>
      <c r="H154" s="32">
        <f t="shared" si="17"/>
        <v>7345</v>
      </c>
      <c r="I154" s="78" t="s">
        <v>622</v>
      </c>
      <c r="J154" s="79" t="s">
        <v>623</v>
      </c>
      <c r="K154" s="78">
        <v>7345</v>
      </c>
      <c r="L154" s="78" t="s">
        <v>624</v>
      </c>
      <c r="M154" s="79" t="s">
        <v>533</v>
      </c>
      <c r="N154" s="79" t="s">
        <v>625</v>
      </c>
      <c r="O154" s="80" t="s">
        <v>615</v>
      </c>
      <c r="P154" s="81" t="s">
        <v>626</v>
      </c>
    </row>
    <row r="155" spans="1:16" ht="12.75" customHeight="1" x14ac:dyDescent="0.2">
      <c r="A155" s="32" t="str">
        <f t="shared" si="12"/>
        <v> AOEB 11 </v>
      </c>
      <c r="B155" s="15" t="str">
        <f t="shared" si="13"/>
        <v>I</v>
      </c>
      <c r="C155" s="32">
        <f t="shared" si="14"/>
        <v>52591.910600000003</v>
      </c>
      <c r="D155" t="str">
        <f t="shared" si="15"/>
        <v>vis</v>
      </c>
      <c r="E155">
        <f>VLOOKUP(C155,Active!C$21:E$969,3,FALSE)</f>
        <v>8145.006021410577</v>
      </c>
      <c r="F155" s="15" t="s">
        <v>176</v>
      </c>
      <c r="G155" t="str">
        <f t="shared" si="16"/>
        <v>52591.9106</v>
      </c>
      <c r="H155" s="32">
        <f t="shared" si="17"/>
        <v>8145</v>
      </c>
      <c r="I155" s="78" t="s">
        <v>627</v>
      </c>
      <c r="J155" s="79" t="s">
        <v>628</v>
      </c>
      <c r="K155" s="78">
        <v>8145</v>
      </c>
      <c r="L155" s="78" t="s">
        <v>629</v>
      </c>
      <c r="M155" s="79" t="s">
        <v>630</v>
      </c>
      <c r="N155" s="79" t="s">
        <v>631</v>
      </c>
      <c r="O155" s="80" t="s">
        <v>632</v>
      </c>
      <c r="P155" s="80" t="s">
        <v>56</v>
      </c>
    </row>
    <row r="156" spans="1:16" ht="12.75" customHeight="1" x14ac:dyDescent="0.2">
      <c r="A156" s="32" t="str">
        <f t="shared" si="12"/>
        <v>BAVM 152 </v>
      </c>
      <c r="B156" s="15" t="str">
        <f t="shared" si="13"/>
        <v>II</v>
      </c>
      <c r="C156" s="32">
        <f t="shared" si="14"/>
        <v>52622.299099999997</v>
      </c>
      <c r="D156" t="str">
        <f t="shared" si="15"/>
        <v>vis</v>
      </c>
      <c r="E156">
        <f>VLOOKUP(C156,Active!C$21:E$969,3,FALSE)</f>
        <v>8180.4641427654742</v>
      </c>
      <c r="F156" s="15" t="s">
        <v>176</v>
      </c>
      <c r="G156" t="str">
        <f t="shared" si="16"/>
        <v>52622.2991</v>
      </c>
      <c r="H156" s="32">
        <f t="shared" si="17"/>
        <v>8180.5</v>
      </c>
      <c r="I156" s="78" t="s">
        <v>633</v>
      </c>
      <c r="J156" s="79" t="s">
        <v>634</v>
      </c>
      <c r="K156" s="78">
        <v>8180.5</v>
      </c>
      <c r="L156" s="78" t="s">
        <v>635</v>
      </c>
      <c r="M156" s="79" t="s">
        <v>533</v>
      </c>
      <c r="N156" s="79" t="s">
        <v>625</v>
      </c>
      <c r="O156" s="80" t="s">
        <v>615</v>
      </c>
      <c r="P156" s="81" t="s">
        <v>626</v>
      </c>
    </row>
    <row r="157" spans="1:16" ht="12.75" customHeight="1" x14ac:dyDescent="0.2">
      <c r="A157" s="32" t="str">
        <f t="shared" si="12"/>
        <v>OEJV 0074 </v>
      </c>
      <c r="B157" s="15" t="str">
        <f t="shared" si="13"/>
        <v>I</v>
      </c>
      <c r="C157" s="32">
        <f t="shared" si="14"/>
        <v>52697.330280000002</v>
      </c>
      <c r="D157" t="str">
        <f t="shared" si="15"/>
        <v>vis</v>
      </c>
      <c r="E157">
        <f>VLOOKUP(C157,Active!C$21:E$969,3,FALSE)</f>
        <v>8268.0125471237661</v>
      </c>
      <c r="F157" s="15" t="s">
        <v>176</v>
      </c>
      <c r="G157" t="str">
        <f t="shared" si="16"/>
        <v>52697.33028</v>
      </c>
      <c r="H157" s="32">
        <f t="shared" si="17"/>
        <v>8268</v>
      </c>
      <c r="I157" s="78" t="s">
        <v>636</v>
      </c>
      <c r="J157" s="79" t="s">
        <v>637</v>
      </c>
      <c r="K157" s="78">
        <v>8268</v>
      </c>
      <c r="L157" s="78" t="s">
        <v>638</v>
      </c>
      <c r="M157" s="79" t="s">
        <v>630</v>
      </c>
      <c r="N157" s="79" t="s">
        <v>171</v>
      </c>
      <c r="O157" s="80" t="s">
        <v>639</v>
      </c>
      <c r="P157" s="81" t="s">
        <v>119</v>
      </c>
    </row>
    <row r="158" spans="1:16" ht="12.75" customHeight="1" x14ac:dyDescent="0.2">
      <c r="A158" s="32" t="str">
        <f t="shared" si="12"/>
        <v>BAVM 172 </v>
      </c>
      <c r="B158" s="15" t="str">
        <f t="shared" si="13"/>
        <v>I</v>
      </c>
      <c r="C158" s="32">
        <f t="shared" si="14"/>
        <v>52931.294000000002</v>
      </c>
      <c r="D158" t="str">
        <f t="shared" si="15"/>
        <v>vis</v>
      </c>
      <c r="E158">
        <f>VLOOKUP(C158,Active!C$21:E$969,3,FALSE)</f>
        <v>8541.0077254446805</v>
      </c>
      <c r="F158" s="15" t="s">
        <v>176</v>
      </c>
      <c r="G158" t="str">
        <f t="shared" si="16"/>
        <v>52931.2940</v>
      </c>
      <c r="H158" s="32">
        <f t="shared" si="17"/>
        <v>8541</v>
      </c>
      <c r="I158" s="78" t="s">
        <v>640</v>
      </c>
      <c r="J158" s="79" t="s">
        <v>641</v>
      </c>
      <c r="K158" s="78">
        <v>8541</v>
      </c>
      <c r="L158" s="78" t="s">
        <v>642</v>
      </c>
      <c r="M158" s="79" t="s">
        <v>533</v>
      </c>
      <c r="N158" s="79" t="s">
        <v>625</v>
      </c>
      <c r="O158" s="80" t="s">
        <v>615</v>
      </c>
      <c r="P158" s="81" t="s">
        <v>643</v>
      </c>
    </row>
    <row r="159" spans="1:16" ht="12.75" customHeight="1" x14ac:dyDescent="0.2">
      <c r="A159" s="32" t="str">
        <f t="shared" si="12"/>
        <v>BAVM 172 </v>
      </c>
      <c r="B159" s="15" t="str">
        <f t="shared" si="13"/>
        <v>I</v>
      </c>
      <c r="C159" s="32">
        <f t="shared" si="14"/>
        <v>52937.301899999999</v>
      </c>
      <c r="D159" t="str">
        <f t="shared" si="15"/>
        <v>vis</v>
      </c>
      <c r="E159">
        <f>VLOOKUP(C159,Active!C$21:E$969,3,FALSE)</f>
        <v>8548.0179051932046</v>
      </c>
      <c r="F159" s="15" t="s">
        <v>176</v>
      </c>
      <c r="G159" t="str">
        <f t="shared" si="16"/>
        <v>52937.3019</v>
      </c>
      <c r="H159" s="32">
        <f t="shared" si="17"/>
        <v>8548</v>
      </c>
      <c r="I159" s="78" t="s">
        <v>644</v>
      </c>
      <c r="J159" s="79" t="s">
        <v>645</v>
      </c>
      <c r="K159" s="78">
        <v>8548</v>
      </c>
      <c r="L159" s="78" t="s">
        <v>646</v>
      </c>
      <c r="M159" s="79" t="s">
        <v>533</v>
      </c>
      <c r="N159" s="79" t="s">
        <v>625</v>
      </c>
      <c r="O159" s="80" t="s">
        <v>615</v>
      </c>
      <c r="P159" s="81" t="s">
        <v>643</v>
      </c>
    </row>
    <row r="160" spans="1:16" ht="12.75" customHeight="1" x14ac:dyDescent="0.2">
      <c r="A160" s="32" t="str">
        <f t="shared" si="12"/>
        <v>IBVS 5592 </v>
      </c>
      <c r="B160" s="15" t="str">
        <f t="shared" si="13"/>
        <v>I</v>
      </c>
      <c r="C160" s="32">
        <f t="shared" si="14"/>
        <v>53028.141900000002</v>
      </c>
      <c r="D160" t="str">
        <f t="shared" si="15"/>
        <v>vis</v>
      </c>
      <c r="E160">
        <f>VLOOKUP(C160,Active!C$21:E$969,3,FALSE)</f>
        <v>8654.0124670794376</v>
      </c>
      <c r="F160" s="15" t="s">
        <v>176</v>
      </c>
      <c r="G160" t="str">
        <f t="shared" si="16"/>
        <v>53028.1419</v>
      </c>
      <c r="H160" s="32">
        <f t="shared" si="17"/>
        <v>8654</v>
      </c>
      <c r="I160" s="78" t="s">
        <v>647</v>
      </c>
      <c r="J160" s="79" t="s">
        <v>648</v>
      </c>
      <c r="K160" s="78">
        <v>8654</v>
      </c>
      <c r="L160" s="78" t="s">
        <v>649</v>
      </c>
      <c r="M160" s="79" t="s">
        <v>533</v>
      </c>
      <c r="N160" s="79" t="s">
        <v>650</v>
      </c>
      <c r="O160" s="80" t="s">
        <v>651</v>
      </c>
      <c r="P160" s="81" t="s">
        <v>652</v>
      </c>
    </row>
    <row r="161" spans="1:16" ht="12.75" customHeight="1" x14ac:dyDescent="0.2">
      <c r="A161" s="32" t="str">
        <f t="shared" si="12"/>
        <v>BAVM 173 </v>
      </c>
      <c r="B161" s="15" t="str">
        <f t="shared" si="13"/>
        <v>I</v>
      </c>
      <c r="C161" s="32">
        <f t="shared" si="14"/>
        <v>53253.5389</v>
      </c>
      <c r="D161" t="str">
        <f t="shared" si="15"/>
        <v>vis</v>
      </c>
      <c r="E161">
        <f>VLOOKUP(C161,Active!C$21:E$969,3,FALSE)</f>
        <v>8917.0117654663773</v>
      </c>
      <c r="F161" s="15" t="s">
        <v>176</v>
      </c>
      <c r="G161" t="str">
        <f t="shared" si="16"/>
        <v>53253.5389</v>
      </c>
      <c r="H161" s="32">
        <f t="shared" si="17"/>
        <v>8917</v>
      </c>
      <c r="I161" s="78" t="s">
        <v>653</v>
      </c>
      <c r="J161" s="79" t="s">
        <v>654</v>
      </c>
      <c r="K161" s="78">
        <v>8917</v>
      </c>
      <c r="L161" s="78" t="s">
        <v>655</v>
      </c>
      <c r="M161" s="79" t="s">
        <v>533</v>
      </c>
      <c r="N161" s="79" t="s">
        <v>656</v>
      </c>
      <c r="O161" s="80" t="s">
        <v>657</v>
      </c>
      <c r="P161" s="81" t="s">
        <v>658</v>
      </c>
    </row>
    <row r="162" spans="1:16" ht="12.75" customHeight="1" x14ac:dyDescent="0.2">
      <c r="A162" s="32" t="str">
        <f t="shared" si="12"/>
        <v>IBVS 5616 </v>
      </c>
      <c r="B162" s="15" t="str">
        <f t="shared" si="13"/>
        <v>I</v>
      </c>
      <c r="C162" s="32">
        <f t="shared" si="14"/>
        <v>53308.382100000003</v>
      </c>
      <c r="D162" t="str">
        <f t="shared" si="15"/>
        <v>vis</v>
      </c>
      <c r="E162">
        <f>VLOOKUP(C162,Active!C$21:E$969,3,FALSE)</f>
        <v>8981.0042903060839</v>
      </c>
      <c r="F162" s="15" t="s">
        <v>176</v>
      </c>
      <c r="G162" t="str">
        <f t="shared" si="16"/>
        <v>53308.3821</v>
      </c>
      <c r="H162" s="32">
        <f t="shared" si="17"/>
        <v>8981</v>
      </c>
      <c r="I162" s="78" t="s">
        <v>659</v>
      </c>
      <c r="J162" s="79" t="s">
        <v>660</v>
      </c>
      <c r="K162" s="78" t="s">
        <v>661</v>
      </c>
      <c r="L162" s="78" t="s">
        <v>662</v>
      </c>
      <c r="M162" s="79" t="s">
        <v>533</v>
      </c>
      <c r="N162" s="79" t="s">
        <v>650</v>
      </c>
      <c r="O162" s="80" t="s">
        <v>663</v>
      </c>
      <c r="P162" s="81" t="s">
        <v>664</v>
      </c>
    </row>
    <row r="163" spans="1:16" ht="12.75" customHeight="1" x14ac:dyDescent="0.2">
      <c r="A163" s="32" t="str">
        <f t="shared" si="12"/>
        <v>BAVM 173 </v>
      </c>
      <c r="B163" s="15" t="str">
        <f t="shared" si="13"/>
        <v>I</v>
      </c>
      <c r="C163" s="32">
        <f t="shared" si="14"/>
        <v>53422.373099999997</v>
      </c>
      <c r="D163" t="str">
        <f t="shared" si="15"/>
        <v>vis</v>
      </c>
      <c r="E163">
        <f>VLOOKUP(C163,Active!C$21:E$969,3,FALSE)</f>
        <v>9114.0120633572988</v>
      </c>
      <c r="F163" s="15" t="s">
        <v>176</v>
      </c>
      <c r="G163" t="str">
        <f t="shared" si="16"/>
        <v>53422.3731</v>
      </c>
      <c r="H163" s="32">
        <f t="shared" si="17"/>
        <v>9114</v>
      </c>
      <c r="I163" s="78" t="s">
        <v>665</v>
      </c>
      <c r="J163" s="79" t="s">
        <v>666</v>
      </c>
      <c r="K163" s="78" t="s">
        <v>667</v>
      </c>
      <c r="L163" s="78" t="s">
        <v>668</v>
      </c>
      <c r="M163" s="79" t="s">
        <v>533</v>
      </c>
      <c r="N163" s="79" t="s">
        <v>625</v>
      </c>
      <c r="O163" s="80" t="s">
        <v>669</v>
      </c>
      <c r="P163" s="81" t="s">
        <v>658</v>
      </c>
    </row>
    <row r="164" spans="1:16" ht="12.75" customHeight="1" x14ac:dyDescent="0.2">
      <c r="A164" s="32" t="str">
        <f t="shared" si="12"/>
        <v>BAVM 178 </v>
      </c>
      <c r="B164" s="15" t="str">
        <f t="shared" si="13"/>
        <v>I</v>
      </c>
      <c r="C164" s="32">
        <f t="shared" si="14"/>
        <v>53674.337500000001</v>
      </c>
      <c r="D164" t="str">
        <f t="shared" si="15"/>
        <v>vis</v>
      </c>
      <c r="E164">
        <f>VLOOKUP(C164,Active!C$21:E$969,3,FALSE)</f>
        <v>9408.0109205669705</v>
      </c>
      <c r="F164" s="15" t="s">
        <v>176</v>
      </c>
      <c r="G164" t="str">
        <f t="shared" si="16"/>
        <v>53674.3375</v>
      </c>
      <c r="H164" s="32">
        <f t="shared" si="17"/>
        <v>9408</v>
      </c>
      <c r="I164" s="78" t="s">
        <v>670</v>
      </c>
      <c r="J164" s="79" t="s">
        <v>671</v>
      </c>
      <c r="K164" s="78" t="s">
        <v>672</v>
      </c>
      <c r="L164" s="78" t="s">
        <v>673</v>
      </c>
      <c r="M164" s="79" t="s">
        <v>630</v>
      </c>
      <c r="N164" s="79" t="s">
        <v>625</v>
      </c>
      <c r="O164" s="80" t="s">
        <v>674</v>
      </c>
      <c r="P164" s="81" t="s">
        <v>675</v>
      </c>
    </row>
    <row r="165" spans="1:16" ht="12.75" customHeight="1" x14ac:dyDescent="0.2">
      <c r="A165" s="32" t="str">
        <f t="shared" si="12"/>
        <v>BAVM 178 </v>
      </c>
      <c r="B165" s="15" t="str">
        <f t="shared" si="13"/>
        <v>II</v>
      </c>
      <c r="C165" s="32">
        <f t="shared" si="14"/>
        <v>53705.622600000002</v>
      </c>
      <c r="D165" t="str">
        <f t="shared" si="15"/>
        <v>vis</v>
      </c>
      <c r="E165">
        <f>VLOOKUP(C165,Active!C$21:E$969,3,FALSE)</f>
        <v>9444.5152189825021</v>
      </c>
      <c r="F165" s="15" t="s">
        <v>176</v>
      </c>
      <c r="G165" t="str">
        <f t="shared" si="16"/>
        <v>53705.6226</v>
      </c>
      <c r="H165" s="32">
        <f t="shared" si="17"/>
        <v>9444.5</v>
      </c>
      <c r="I165" s="78" t="s">
        <v>676</v>
      </c>
      <c r="J165" s="79" t="s">
        <v>677</v>
      </c>
      <c r="K165" s="78" t="s">
        <v>678</v>
      </c>
      <c r="L165" s="78" t="s">
        <v>679</v>
      </c>
      <c r="M165" s="79" t="s">
        <v>630</v>
      </c>
      <c r="N165" s="79" t="s">
        <v>656</v>
      </c>
      <c r="O165" s="80" t="s">
        <v>680</v>
      </c>
      <c r="P165" s="81" t="s">
        <v>675</v>
      </c>
    </row>
    <row r="166" spans="1:16" x14ac:dyDescent="0.2">
      <c r="A166" s="32" t="str">
        <f t="shared" si="12"/>
        <v>IBVS 5677 </v>
      </c>
      <c r="B166" s="15" t="str">
        <f t="shared" si="13"/>
        <v>I</v>
      </c>
      <c r="C166" s="32">
        <f t="shared" si="14"/>
        <v>53708.616800000003</v>
      </c>
      <c r="D166" t="str">
        <f t="shared" si="15"/>
        <v>vis</v>
      </c>
      <c r="E166">
        <f>VLOOKUP(C166,Active!C$21:E$969,3,FALSE)</f>
        <v>9448.0089322938165</v>
      </c>
      <c r="F166" s="15" t="s">
        <v>176</v>
      </c>
      <c r="G166" t="str">
        <f t="shared" si="16"/>
        <v>53708.6168</v>
      </c>
      <c r="H166" s="32">
        <f t="shared" si="17"/>
        <v>9448</v>
      </c>
      <c r="I166" s="78" t="s">
        <v>681</v>
      </c>
      <c r="J166" s="79" t="s">
        <v>682</v>
      </c>
      <c r="K166" s="78" t="s">
        <v>683</v>
      </c>
      <c r="L166" s="78" t="s">
        <v>684</v>
      </c>
      <c r="M166" s="79" t="s">
        <v>533</v>
      </c>
      <c r="N166" s="79" t="s">
        <v>650</v>
      </c>
      <c r="O166" s="80" t="s">
        <v>685</v>
      </c>
      <c r="P166" s="81" t="s">
        <v>686</v>
      </c>
    </row>
    <row r="167" spans="1:16" x14ac:dyDescent="0.2">
      <c r="A167" s="32" t="str">
        <f t="shared" si="12"/>
        <v>OEJV 0074 </v>
      </c>
      <c r="B167" s="15" t="str">
        <f t="shared" si="13"/>
        <v>I</v>
      </c>
      <c r="C167" s="32">
        <f t="shared" si="14"/>
        <v>54075.424429999999</v>
      </c>
      <c r="D167" t="str">
        <f t="shared" si="15"/>
        <v>vis</v>
      </c>
      <c r="E167">
        <f>VLOOKUP(C167,Active!C$21:E$969,3,FALSE)</f>
        <v>9876.0099675026995</v>
      </c>
      <c r="F167" s="15" t="s">
        <v>176</v>
      </c>
      <c r="G167" t="str">
        <f t="shared" si="16"/>
        <v>54075.42443</v>
      </c>
      <c r="H167" s="32">
        <f t="shared" si="17"/>
        <v>9876</v>
      </c>
      <c r="I167" s="78" t="s">
        <v>687</v>
      </c>
      <c r="J167" s="79" t="s">
        <v>688</v>
      </c>
      <c r="K167" s="78" t="s">
        <v>689</v>
      </c>
      <c r="L167" s="78" t="s">
        <v>690</v>
      </c>
      <c r="M167" s="79" t="s">
        <v>630</v>
      </c>
      <c r="N167" s="79" t="s">
        <v>57</v>
      </c>
      <c r="O167" s="80" t="s">
        <v>691</v>
      </c>
      <c r="P167" s="81" t="s">
        <v>119</v>
      </c>
    </row>
    <row r="168" spans="1:16" x14ac:dyDescent="0.2">
      <c r="A168" s="32" t="str">
        <f t="shared" si="12"/>
        <v>IBVS 5820 </v>
      </c>
      <c r="B168" s="15" t="str">
        <f t="shared" si="13"/>
        <v>I</v>
      </c>
      <c r="C168" s="32">
        <f t="shared" si="14"/>
        <v>54354.819000000003</v>
      </c>
      <c r="D168" t="str">
        <f t="shared" si="15"/>
        <v>vis</v>
      </c>
      <c r="E168">
        <f>VLOOKUP(C168,Active!C$21:E$969,3,FALSE)</f>
        <v>10202.015086839348</v>
      </c>
      <c r="F168" s="15" t="s">
        <v>176</v>
      </c>
      <c r="G168" t="str">
        <f t="shared" si="16"/>
        <v>54354.8190</v>
      </c>
      <c r="H168" s="32">
        <f t="shared" si="17"/>
        <v>10202</v>
      </c>
      <c r="I168" s="78" t="s">
        <v>692</v>
      </c>
      <c r="J168" s="79" t="s">
        <v>693</v>
      </c>
      <c r="K168" s="78" t="s">
        <v>694</v>
      </c>
      <c r="L168" s="78" t="s">
        <v>624</v>
      </c>
      <c r="M168" s="79" t="s">
        <v>630</v>
      </c>
      <c r="N168" s="79" t="s">
        <v>695</v>
      </c>
      <c r="O168" s="80" t="s">
        <v>696</v>
      </c>
      <c r="P168" s="81" t="s">
        <v>697</v>
      </c>
    </row>
    <row r="169" spans="1:16" x14ac:dyDescent="0.2">
      <c r="A169" s="32" t="str">
        <f t="shared" si="12"/>
        <v>IBVS 5897 </v>
      </c>
      <c r="B169" s="15" t="str">
        <f t="shared" si="13"/>
        <v>I</v>
      </c>
      <c r="C169" s="32">
        <f t="shared" si="14"/>
        <v>54436.233200000002</v>
      </c>
      <c r="D169" t="str">
        <f t="shared" si="15"/>
        <v>vis</v>
      </c>
      <c r="E169">
        <f>VLOOKUP(C169,Active!C$21:E$969,3,FALSE)</f>
        <v>10297.011371078865</v>
      </c>
      <c r="F169" s="15" t="s">
        <v>176</v>
      </c>
      <c r="G169" t="str">
        <f t="shared" si="16"/>
        <v>54436.2332</v>
      </c>
      <c r="H169" s="32">
        <f t="shared" si="17"/>
        <v>10297</v>
      </c>
      <c r="I169" s="78" t="s">
        <v>698</v>
      </c>
      <c r="J169" s="79" t="s">
        <v>699</v>
      </c>
      <c r="K169" s="78" t="s">
        <v>700</v>
      </c>
      <c r="L169" s="78" t="s">
        <v>701</v>
      </c>
      <c r="M169" s="79" t="s">
        <v>630</v>
      </c>
      <c r="N169" s="79" t="s">
        <v>534</v>
      </c>
      <c r="O169" s="80" t="s">
        <v>702</v>
      </c>
      <c r="P169" s="81" t="s">
        <v>703</v>
      </c>
    </row>
    <row r="170" spans="1:16" ht="25.5" x14ac:dyDescent="0.2">
      <c r="A170" s="32" t="str">
        <f t="shared" si="12"/>
        <v>JAAVSO 36(2);186 </v>
      </c>
      <c r="B170" s="15" t="str">
        <f t="shared" si="13"/>
        <v>I</v>
      </c>
      <c r="C170" s="32">
        <f t="shared" si="14"/>
        <v>54553.644099999998</v>
      </c>
      <c r="D170" t="str">
        <f t="shared" si="15"/>
        <v>vis</v>
      </c>
      <c r="E170">
        <f>VLOOKUP(C170,Active!C$21:E$969,3,FALSE)</f>
        <v>10434.009575682201</v>
      </c>
      <c r="F170" s="15" t="s">
        <v>176</v>
      </c>
      <c r="G170" t="str">
        <f t="shared" si="16"/>
        <v>54553.6441</v>
      </c>
      <c r="H170" s="32">
        <f t="shared" si="17"/>
        <v>10434</v>
      </c>
      <c r="I170" s="78" t="s">
        <v>704</v>
      </c>
      <c r="J170" s="79" t="s">
        <v>705</v>
      </c>
      <c r="K170" s="78" t="s">
        <v>706</v>
      </c>
      <c r="L170" s="78" t="s">
        <v>707</v>
      </c>
      <c r="M170" s="79" t="s">
        <v>630</v>
      </c>
      <c r="N170" s="79" t="s">
        <v>625</v>
      </c>
      <c r="O170" s="80" t="s">
        <v>708</v>
      </c>
      <c r="P170" s="81" t="s">
        <v>709</v>
      </c>
    </row>
    <row r="171" spans="1:16" x14ac:dyDescent="0.2">
      <c r="A171" s="32" t="str">
        <f t="shared" si="12"/>
        <v>IBVS 5933 </v>
      </c>
      <c r="B171" s="15" t="str">
        <f t="shared" si="13"/>
        <v>I</v>
      </c>
      <c r="C171" s="32">
        <f t="shared" si="14"/>
        <v>54751.6224</v>
      </c>
      <c r="D171" t="str">
        <f t="shared" si="15"/>
        <v>vis</v>
      </c>
      <c r="E171">
        <f>VLOOKUP(C171,Active!C$21:E$969,3,FALSE)</f>
        <v>10665.015995447506</v>
      </c>
      <c r="F171" s="15" t="s">
        <v>176</v>
      </c>
      <c r="G171" t="str">
        <f t="shared" si="16"/>
        <v>54751.6224</v>
      </c>
      <c r="H171" s="32">
        <f t="shared" si="17"/>
        <v>10665</v>
      </c>
      <c r="I171" s="78" t="s">
        <v>710</v>
      </c>
      <c r="J171" s="79" t="s">
        <v>711</v>
      </c>
      <c r="K171" s="78" t="s">
        <v>712</v>
      </c>
      <c r="L171" s="78" t="s">
        <v>713</v>
      </c>
      <c r="M171" s="79" t="s">
        <v>630</v>
      </c>
      <c r="N171" s="79" t="s">
        <v>534</v>
      </c>
      <c r="O171" s="80" t="s">
        <v>714</v>
      </c>
      <c r="P171" s="81" t="s">
        <v>715</v>
      </c>
    </row>
    <row r="172" spans="1:16" x14ac:dyDescent="0.2">
      <c r="A172" s="32" t="str">
        <f t="shared" si="12"/>
        <v>JAAVSO 37(1);44 </v>
      </c>
      <c r="B172" s="15" t="str">
        <f t="shared" si="13"/>
        <v>I</v>
      </c>
      <c r="C172" s="32">
        <f t="shared" si="14"/>
        <v>54751.622600000002</v>
      </c>
      <c r="D172" t="str">
        <f t="shared" si="15"/>
        <v>vis</v>
      </c>
      <c r="E172">
        <f>VLOOKUP(C172,Active!C$21:E$969,3,FALSE)</f>
        <v>10665.016228812903</v>
      </c>
      <c r="F172" s="15" t="s">
        <v>176</v>
      </c>
      <c r="G172" t="str">
        <f t="shared" si="16"/>
        <v>54751.6226</v>
      </c>
      <c r="H172" s="32">
        <f t="shared" si="17"/>
        <v>10665</v>
      </c>
      <c r="I172" s="78" t="s">
        <v>716</v>
      </c>
      <c r="J172" s="79" t="s">
        <v>711</v>
      </c>
      <c r="K172" s="78" t="s">
        <v>712</v>
      </c>
      <c r="L172" s="78" t="s">
        <v>717</v>
      </c>
      <c r="M172" s="79" t="s">
        <v>630</v>
      </c>
      <c r="N172" s="79" t="s">
        <v>631</v>
      </c>
      <c r="O172" s="80" t="s">
        <v>718</v>
      </c>
      <c r="P172" s="81" t="s">
        <v>719</v>
      </c>
    </row>
    <row r="173" spans="1:16" x14ac:dyDescent="0.2">
      <c r="A173" s="32" t="str">
        <f t="shared" si="12"/>
        <v>IBVS 5933 </v>
      </c>
      <c r="B173" s="15" t="str">
        <f t="shared" si="13"/>
        <v>II</v>
      </c>
      <c r="C173" s="32">
        <f t="shared" si="14"/>
        <v>54755.484900000003</v>
      </c>
      <c r="D173" t="str">
        <f t="shared" si="15"/>
        <v>vis</v>
      </c>
      <c r="E173">
        <f>VLOOKUP(C173,Active!C$21:E$969,3,FALSE)</f>
        <v>10669.52286461622</v>
      </c>
      <c r="F173" s="15" t="s">
        <v>176</v>
      </c>
      <c r="G173" t="str">
        <f t="shared" si="16"/>
        <v>54755.4849</v>
      </c>
      <c r="H173" s="32">
        <f t="shared" si="17"/>
        <v>10669.5</v>
      </c>
      <c r="I173" s="78" t="s">
        <v>720</v>
      </c>
      <c r="J173" s="79" t="s">
        <v>721</v>
      </c>
      <c r="K173" s="78" t="s">
        <v>722</v>
      </c>
      <c r="L173" s="78" t="s">
        <v>723</v>
      </c>
      <c r="M173" s="79" t="s">
        <v>630</v>
      </c>
      <c r="N173" s="79" t="s">
        <v>176</v>
      </c>
      <c r="O173" s="80" t="s">
        <v>724</v>
      </c>
      <c r="P173" s="81" t="s">
        <v>715</v>
      </c>
    </row>
    <row r="174" spans="1:16" x14ac:dyDescent="0.2">
      <c r="A174" s="32" t="str">
        <f t="shared" si="12"/>
        <v>IBVS 5933 </v>
      </c>
      <c r="B174" s="15" t="str">
        <f t="shared" si="13"/>
        <v>I</v>
      </c>
      <c r="C174" s="32">
        <f t="shared" si="14"/>
        <v>54759.335899999998</v>
      </c>
      <c r="D174" t="str">
        <f t="shared" si="15"/>
        <v>vis</v>
      </c>
      <c r="E174">
        <f>VLOOKUP(C174,Active!C$21:E$969,3,FALSE)</f>
        <v>10674.016315274777</v>
      </c>
      <c r="F174" s="15" t="s">
        <v>176</v>
      </c>
      <c r="G174" t="str">
        <f t="shared" si="16"/>
        <v>54759.3359</v>
      </c>
      <c r="H174" s="32">
        <f t="shared" si="17"/>
        <v>10674</v>
      </c>
      <c r="I174" s="78" t="s">
        <v>725</v>
      </c>
      <c r="J174" s="79" t="s">
        <v>726</v>
      </c>
      <c r="K174" s="78" t="s">
        <v>727</v>
      </c>
      <c r="L174" s="78" t="s">
        <v>728</v>
      </c>
      <c r="M174" s="79" t="s">
        <v>630</v>
      </c>
      <c r="N174" s="79" t="s">
        <v>176</v>
      </c>
      <c r="O174" s="80" t="s">
        <v>714</v>
      </c>
      <c r="P174" s="81" t="s">
        <v>715</v>
      </c>
    </row>
    <row r="175" spans="1:16" x14ac:dyDescent="0.2">
      <c r="A175" s="32" t="str">
        <f t="shared" si="12"/>
        <v>IBVS 5897 </v>
      </c>
      <c r="B175" s="15" t="str">
        <f t="shared" si="13"/>
        <v>I</v>
      </c>
      <c r="C175" s="32">
        <f t="shared" si="14"/>
        <v>54800.471299999997</v>
      </c>
      <c r="D175" t="str">
        <f t="shared" si="15"/>
        <v>vis</v>
      </c>
      <c r="E175">
        <f>VLOOKUP(C175,Active!C$21:E$969,3,FALSE)</f>
        <v>10722.014209385461</v>
      </c>
      <c r="F175" s="15" t="s">
        <v>176</v>
      </c>
      <c r="G175" t="str">
        <f t="shared" si="16"/>
        <v>54800.4713</v>
      </c>
      <c r="H175" s="32">
        <f t="shared" si="17"/>
        <v>10722</v>
      </c>
      <c r="I175" s="78" t="s">
        <v>729</v>
      </c>
      <c r="J175" s="79" t="s">
        <v>730</v>
      </c>
      <c r="K175" s="78" t="s">
        <v>731</v>
      </c>
      <c r="L175" s="78" t="s">
        <v>732</v>
      </c>
      <c r="M175" s="79" t="s">
        <v>630</v>
      </c>
      <c r="N175" s="79" t="s">
        <v>534</v>
      </c>
      <c r="O175" s="80" t="s">
        <v>702</v>
      </c>
      <c r="P175" s="81" t="s">
        <v>703</v>
      </c>
    </row>
    <row r="176" spans="1:16" x14ac:dyDescent="0.2">
      <c r="A176" s="32" t="str">
        <f t="shared" si="12"/>
        <v>IBVS 5933 </v>
      </c>
      <c r="B176" s="15" t="str">
        <f t="shared" si="13"/>
        <v>II</v>
      </c>
      <c r="C176" s="32">
        <f t="shared" si="14"/>
        <v>54827.464699999997</v>
      </c>
      <c r="D176" t="str">
        <f t="shared" si="15"/>
        <v>vis</v>
      </c>
      <c r="E176">
        <f>VLOOKUP(C176,Active!C$21:E$969,3,FALSE)</f>
        <v>10753.510836497082</v>
      </c>
      <c r="F176" s="15" t="s">
        <v>176</v>
      </c>
      <c r="G176" t="str">
        <f t="shared" si="16"/>
        <v>54827.4647</v>
      </c>
      <c r="H176" s="32">
        <f t="shared" si="17"/>
        <v>10753.5</v>
      </c>
      <c r="I176" s="78" t="s">
        <v>733</v>
      </c>
      <c r="J176" s="79" t="s">
        <v>734</v>
      </c>
      <c r="K176" s="78" t="s">
        <v>735</v>
      </c>
      <c r="L176" s="78" t="s">
        <v>590</v>
      </c>
      <c r="M176" s="79" t="s">
        <v>630</v>
      </c>
      <c r="N176" s="79" t="s">
        <v>176</v>
      </c>
      <c r="O176" s="80" t="s">
        <v>714</v>
      </c>
      <c r="P176" s="81" t="s">
        <v>715</v>
      </c>
    </row>
    <row r="177" spans="1:16" x14ac:dyDescent="0.2">
      <c r="A177" s="32" t="str">
        <f t="shared" si="12"/>
        <v>IBVS 5933 </v>
      </c>
      <c r="B177" s="15" t="str">
        <f t="shared" si="13"/>
        <v>I</v>
      </c>
      <c r="C177" s="32">
        <f t="shared" si="14"/>
        <v>54830.466500000002</v>
      </c>
      <c r="D177" t="str">
        <f t="shared" si="15"/>
        <v>vis</v>
      </c>
      <c r="E177">
        <f>VLOOKUP(C177,Active!C$21:E$969,3,FALSE)</f>
        <v>10757.013417693368</v>
      </c>
      <c r="F177" s="15" t="s">
        <v>176</v>
      </c>
      <c r="G177" t="str">
        <f t="shared" si="16"/>
        <v>54830.4665</v>
      </c>
      <c r="H177" s="32">
        <f t="shared" si="17"/>
        <v>10757</v>
      </c>
      <c r="I177" s="78" t="s">
        <v>736</v>
      </c>
      <c r="J177" s="79" t="s">
        <v>737</v>
      </c>
      <c r="K177" s="78" t="s">
        <v>738</v>
      </c>
      <c r="L177" s="78" t="s">
        <v>739</v>
      </c>
      <c r="M177" s="79" t="s">
        <v>630</v>
      </c>
      <c r="N177" s="79" t="s">
        <v>176</v>
      </c>
      <c r="O177" s="80" t="s">
        <v>714</v>
      </c>
      <c r="P177" s="81" t="s">
        <v>715</v>
      </c>
    </row>
    <row r="178" spans="1:16" x14ac:dyDescent="0.2">
      <c r="A178" s="32" t="str">
        <f t="shared" si="12"/>
        <v>BAVM 209 </v>
      </c>
      <c r="B178" s="15" t="str">
        <f t="shared" si="13"/>
        <v>I</v>
      </c>
      <c r="C178" s="32">
        <f t="shared" si="14"/>
        <v>54831.322800000002</v>
      </c>
      <c r="D178" t="str">
        <f t="shared" si="15"/>
        <v>vis</v>
      </c>
      <c r="E178">
        <f>VLOOKUP(C178,Active!C$21:E$969,3,FALSE)</f>
        <v>10758.012571627132</v>
      </c>
      <c r="F178" s="15" t="s">
        <v>176</v>
      </c>
      <c r="G178" t="str">
        <f t="shared" si="16"/>
        <v>54831.3228</v>
      </c>
      <c r="H178" s="32">
        <f t="shared" si="17"/>
        <v>10758</v>
      </c>
      <c r="I178" s="78" t="s">
        <v>740</v>
      </c>
      <c r="J178" s="79" t="s">
        <v>741</v>
      </c>
      <c r="K178" s="78" t="s">
        <v>742</v>
      </c>
      <c r="L178" s="78" t="s">
        <v>743</v>
      </c>
      <c r="M178" s="79" t="s">
        <v>630</v>
      </c>
      <c r="N178" s="79" t="s">
        <v>744</v>
      </c>
      <c r="O178" s="80" t="s">
        <v>745</v>
      </c>
      <c r="P178" s="81" t="s">
        <v>746</v>
      </c>
    </row>
    <row r="179" spans="1:16" x14ac:dyDescent="0.2">
      <c r="A179" s="32" t="str">
        <f t="shared" si="12"/>
        <v>BAVM 209 </v>
      </c>
      <c r="B179" s="15" t="str">
        <f t="shared" si="13"/>
        <v>I</v>
      </c>
      <c r="C179" s="32">
        <f t="shared" si="14"/>
        <v>54831.323600000003</v>
      </c>
      <c r="D179" t="str">
        <f t="shared" si="15"/>
        <v>vis</v>
      </c>
      <c r="E179">
        <f>VLOOKUP(C179,Active!C$21:E$969,3,FALSE)</f>
        <v>10758.013505088709</v>
      </c>
      <c r="F179" s="15" t="s">
        <v>176</v>
      </c>
      <c r="G179" t="str">
        <f t="shared" si="16"/>
        <v>54831.3236</v>
      </c>
      <c r="H179" s="32">
        <f t="shared" si="17"/>
        <v>10758</v>
      </c>
      <c r="I179" s="78" t="s">
        <v>747</v>
      </c>
      <c r="J179" s="79" t="s">
        <v>748</v>
      </c>
      <c r="K179" s="78">
        <v>10758</v>
      </c>
      <c r="L179" s="78" t="s">
        <v>749</v>
      </c>
      <c r="M179" s="79" t="s">
        <v>630</v>
      </c>
      <c r="N179" s="79">
        <v>0</v>
      </c>
      <c r="O179" s="80" t="s">
        <v>680</v>
      </c>
      <c r="P179" s="81" t="s">
        <v>746</v>
      </c>
    </row>
    <row r="180" spans="1:16" x14ac:dyDescent="0.2">
      <c r="A180" s="32" t="str">
        <f t="shared" si="12"/>
        <v>BAVM 209 </v>
      </c>
      <c r="B180" s="15" t="str">
        <f t="shared" si="13"/>
        <v>I</v>
      </c>
      <c r="C180" s="32">
        <f t="shared" si="14"/>
        <v>54842.464</v>
      </c>
      <c r="D180" t="str">
        <f t="shared" si="15"/>
        <v>vis</v>
      </c>
      <c r="E180">
        <f>VLOOKUP(C180,Active!C$21:E$969,3,FALSE)</f>
        <v>10771.012424256884</v>
      </c>
      <c r="F180" s="15" t="s">
        <v>176</v>
      </c>
      <c r="G180" t="str">
        <f t="shared" si="16"/>
        <v>54842.4640</v>
      </c>
      <c r="H180" s="32">
        <f t="shared" si="17"/>
        <v>10771</v>
      </c>
      <c r="I180" s="78" t="s">
        <v>750</v>
      </c>
      <c r="J180" s="79" t="s">
        <v>751</v>
      </c>
      <c r="K180" s="78">
        <v>10771</v>
      </c>
      <c r="L180" s="78" t="s">
        <v>752</v>
      </c>
      <c r="M180" s="79" t="s">
        <v>630</v>
      </c>
      <c r="N180" s="79">
        <v>0</v>
      </c>
      <c r="O180" s="80" t="s">
        <v>680</v>
      </c>
      <c r="P180" s="81" t="s">
        <v>746</v>
      </c>
    </row>
    <row r="181" spans="1:16" x14ac:dyDescent="0.2">
      <c r="A181" s="32" t="str">
        <f t="shared" si="12"/>
        <v>IBVS 5933 </v>
      </c>
      <c r="B181" s="15" t="str">
        <f t="shared" si="13"/>
        <v>I</v>
      </c>
      <c r="C181" s="32">
        <f t="shared" si="14"/>
        <v>54843.321600000003</v>
      </c>
      <c r="D181" t="str">
        <f t="shared" si="15"/>
        <v>vis</v>
      </c>
      <c r="E181">
        <f>VLOOKUP(C181,Active!C$21:E$969,3,FALSE)</f>
        <v>10772.013095065713</v>
      </c>
      <c r="F181" s="15" t="s">
        <v>176</v>
      </c>
      <c r="G181" t="str">
        <f t="shared" si="16"/>
        <v>54843.3216</v>
      </c>
      <c r="H181" s="32">
        <f t="shared" si="17"/>
        <v>10772</v>
      </c>
      <c r="I181" s="78" t="s">
        <v>753</v>
      </c>
      <c r="J181" s="79" t="s">
        <v>754</v>
      </c>
      <c r="K181" s="78">
        <v>10772</v>
      </c>
      <c r="L181" s="78" t="s">
        <v>755</v>
      </c>
      <c r="M181" s="79" t="s">
        <v>630</v>
      </c>
      <c r="N181" s="79" t="s">
        <v>176</v>
      </c>
      <c r="O181" s="80" t="s">
        <v>714</v>
      </c>
      <c r="P181" s="81" t="s">
        <v>715</v>
      </c>
    </row>
    <row r="182" spans="1:16" x14ac:dyDescent="0.2">
      <c r="A182" s="32" t="str">
        <f t="shared" si="12"/>
        <v>IBVS 5933 </v>
      </c>
      <c r="B182" s="15" t="str">
        <f t="shared" si="13"/>
        <v>I</v>
      </c>
      <c r="C182" s="32">
        <f t="shared" si="14"/>
        <v>54861.3177</v>
      </c>
      <c r="D182" t="str">
        <f t="shared" si="15"/>
        <v>vis</v>
      </c>
      <c r="E182">
        <f>VLOOKUP(C182,Active!C$21:E$969,3,FALSE)</f>
        <v>10793.011429886941</v>
      </c>
      <c r="F182" s="15" t="s">
        <v>176</v>
      </c>
      <c r="G182" t="str">
        <f t="shared" si="16"/>
        <v>54861.3177</v>
      </c>
      <c r="H182" s="32">
        <f t="shared" si="17"/>
        <v>10793</v>
      </c>
      <c r="I182" s="78" t="s">
        <v>756</v>
      </c>
      <c r="J182" s="79" t="s">
        <v>757</v>
      </c>
      <c r="K182" s="78">
        <v>10793</v>
      </c>
      <c r="L182" s="78" t="s">
        <v>758</v>
      </c>
      <c r="M182" s="79" t="s">
        <v>630</v>
      </c>
      <c r="N182" s="79" t="s">
        <v>176</v>
      </c>
      <c r="O182" s="80" t="s">
        <v>759</v>
      </c>
      <c r="P182" s="81" t="s">
        <v>715</v>
      </c>
    </row>
    <row r="183" spans="1:16" x14ac:dyDescent="0.2">
      <c r="A183" s="32" t="str">
        <f t="shared" si="12"/>
        <v> JAAVSO 38;85 </v>
      </c>
      <c r="B183" s="15" t="str">
        <f t="shared" si="13"/>
        <v>I</v>
      </c>
      <c r="C183" s="32">
        <f t="shared" si="14"/>
        <v>54895.5985</v>
      </c>
      <c r="D183" t="str">
        <f t="shared" si="15"/>
        <v>vis</v>
      </c>
      <c r="E183">
        <f>VLOOKUP(C183,Active!C$21:E$969,3,FALSE)</f>
        <v>10833.011191854239</v>
      </c>
      <c r="F183" s="15" t="s">
        <v>176</v>
      </c>
      <c r="G183" t="str">
        <f t="shared" si="16"/>
        <v>54895.5985</v>
      </c>
      <c r="H183" s="32">
        <f t="shared" si="17"/>
        <v>10833</v>
      </c>
      <c r="I183" s="78" t="s">
        <v>760</v>
      </c>
      <c r="J183" s="79" t="s">
        <v>761</v>
      </c>
      <c r="K183" s="78">
        <v>10833</v>
      </c>
      <c r="L183" s="78" t="s">
        <v>762</v>
      </c>
      <c r="M183" s="79" t="s">
        <v>630</v>
      </c>
      <c r="N183" s="79" t="s">
        <v>631</v>
      </c>
      <c r="O183" s="80" t="s">
        <v>763</v>
      </c>
      <c r="P183" s="80" t="s">
        <v>764</v>
      </c>
    </row>
    <row r="184" spans="1:16" x14ac:dyDescent="0.2">
      <c r="A184" s="32" t="str">
        <f t="shared" si="12"/>
        <v> JAAVSO 38;120 </v>
      </c>
      <c r="B184" s="15" t="str">
        <f t="shared" si="13"/>
        <v>I</v>
      </c>
      <c r="C184" s="32">
        <f t="shared" si="14"/>
        <v>55118.427300000003</v>
      </c>
      <c r="D184" t="str">
        <f t="shared" si="15"/>
        <v>vis</v>
      </c>
      <c r="E184">
        <f>VLOOKUP(C184,Active!C$21:E$969,3,FALSE)</f>
        <v>11093.013845218771</v>
      </c>
      <c r="F184" s="15" t="s">
        <v>176</v>
      </c>
      <c r="G184" t="str">
        <f t="shared" si="16"/>
        <v>55118.4273</v>
      </c>
      <c r="H184" s="32">
        <f t="shared" si="17"/>
        <v>11093</v>
      </c>
      <c r="I184" s="78" t="s">
        <v>765</v>
      </c>
      <c r="J184" s="79" t="s">
        <v>766</v>
      </c>
      <c r="K184" s="78">
        <v>11093</v>
      </c>
      <c r="L184" s="78" t="s">
        <v>767</v>
      </c>
      <c r="M184" s="79" t="s">
        <v>630</v>
      </c>
      <c r="N184" s="79" t="s">
        <v>631</v>
      </c>
      <c r="O184" s="80" t="s">
        <v>768</v>
      </c>
      <c r="P184" s="80" t="s">
        <v>769</v>
      </c>
    </row>
    <row r="185" spans="1:16" x14ac:dyDescent="0.2">
      <c r="A185" s="32" t="str">
        <f t="shared" si="12"/>
        <v> JAAVSO 38;120 </v>
      </c>
      <c r="B185" s="15" t="str">
        <f t="shared" si="13"/>
        <v>I</v>
      </c>
      <c r="C185" s="32">
        <f t="shared" si="14"/>
        <v>55146.711799999997</v>
      </c>
      <c r="D185" t="str">
        <f t="shared" si="15"/>
        <v>vis</v>
      </c>
      <c r="E185">
        <f>VLOOKUP(C185,Active!C$21:E$969,3,FALSE)</f>
        <v>11126.016962630378</v>
      </c>
      <c r="F185" s="15" t="s">
        <v>176</v>
      </c>
      <c r="G185" t="str">
        <f t="shared" si="16"/>
        <v>55146.7118</v>
      </c>
      <c r="H185" s="32">
        <f t="shared" si="17"/>
        <v>11126</v>
      </c>
      <c r="I185" s="78" t="s">
        <v>770</v>
      </c>
      <c r="J185" s="79" t="s">
        <v>771</v>
      </c>
      <c r="K185" s="78">
        <v>11126</v>
      </c>
      <c r="L185" s="78" t="s">
        <v>772</v>
      </c>
      <c r="M185" s="79" t="s">
        <v>630</v>
      </c>
      <c r="N185" s="79" t="s">
        <v>631</v>
      </c>
      <c r="O185" s="80" t="s">
        <v>763</v>
      </c>
      <c r="P185" s="80" t="s">
        <v>769</v>
      </c>
    </row>
    <row r="186" spans="1:16" x14ac:dyDescent="0.2">
      <c r="A186" s="32" t="str">
        <f t="shared" si="12"/>
        <v> JAAVSO 38;120 </v>
      </c>
      <c r="B186" s="15" t="str">
        <f t="shared" si="13"/>
        <v>I</v>
      </c>
      <c r="C186" s="32">
        <f t="shared" si="14"/>
        <v>55158.710099999997</v>
      </c>
      <c r="D186" t="str">
        <f t="shared" si="15"/>
        <v>vis</v>
      </c>
      <c r="E186">
        <f>VLOOKUP(C186,Active!C$21:E$969,3,FALSE)</f>
        <v>11140.01690265547</v>
      </c>
      <c r="F186" s="15" t="s">
        <v>176</v>
      </c>
      <c r="G186" t="str">
        <f t="shared" si="16"/>
        <v>55158.7101</v>
      </c>
      <c r="H186" s="32">
        <f t="shared" si="17"/>
        <v>11140</v>
      </c>
      <c r="I186" s="78" t="s">
        <v>773</v>
      </c>
      <c r="J186" s="79" t="s">
        <v>774</v>
      </c>
      <c r="K186" s="78">
        <v>11140</v>
      </c>
      <c r="L186" s="78" t="s">
        <v>772</v>
      </c>
      <c r="M186" s="79" t="s">
        <v>630</v>
      </c>
      <c r="N186" s="79" t="s">
        <v>631</v>
      </c>
      <c r="O186" s="80" t="s">
        <v>775</v>
      </c>
      <c r="P186" s="80" t="s">
        <v>769</v>
      </c>
    </row>
    <row r="187" spans="1:16" x14ac:dyDescent="0.2">
      <c r="A187" s="32" t="str">
        <f t="shared" si="12"/>
        <v>IBVS 5920 </v>
      </c>
      <c r="B187" s="15" t="str">
        <f t="shared" si="13"/>
        <v>II</v>
      </c>
      <c r="C187" s="32">
        <f t="shared" si="14"/>
        <v>55197.701500000003</v>
      </c>
      <c r="D187" t="str">
        <f t="shared" si="15"/>
        <v>vis</v>
      </c>
      <c r="E187">
        <f>VLOOKUP(C187,Active!C$21:E$969,3,FALSE)</f>
        <v>11185.513119744102</v>
      </c>
      <c r="F187" s="15" t="s">
        <v>176</v>
      </c>
      <c r="G187" t="str">
        <f t="shared" si="16"/>
        <v>55197.7015</v>
      </c>
      <c r="H187" s="32">
        <f t="shared" si="17"/>
        <v>11185.5</v>
      </c>
      <c r="I187" s="78" t="s">
        <v>776</v>
      </c>
      <c r="J187" s="79" t="s">
        <v>777</v>
      </c>
      <c r="K187" s="78">
        <v>11185.5</v>
      </c>
      <c r="L187" s="78" t="s">
        <v>755</v>
      </c>
      <c r="M187" s="79" t="s">
        <v>630</v>
      </c>
      <c r="N187" s="79" t="s">
        <v>176</v>
      </c>
      <c r="O187" s="80" t="s">
        <v>228</v>
      </c>
      <c r="P187" s="81" t="s">
        <v>778</v>
      </c>
    </row>
    <row r="188" spans="1:16" x14ac:dyDescent="0.2">
      <c r="A188" s="32" t="str">
        <f t="shared" si="12"/>
        <v> JAAVSO 38;120 </v>
      </c>
      <c r="B188" s="15" t="str">
        <f t="shared" si="13"/>
        <v>I</v>
      </c>
      <c r="C188" s="32">
        <f t="shared" si="14"/>
        <v>55207.558100000002</v>
      </c>
      <c r="D188" t="str">
        <f t="shared" si="15"/>
        <v>vis</v>
      </c>
      <c r="E188">
        <f>VLOOKUP(C188,Active!C$21:E$969,3,FALSE)</f>
        <v>11197.014066449163</v>
      </c>
      <c r="F188" s="15" t="s">
        <v>176</v>
      </c>
      <c r="G188" t="str">
        <f t="shared" si="16"/>
        <v>55207.5581</v>
      </c>
      <c r="H188" s="32">
        <f t="shared" si="17"/>
        <v>11197</v>
      </c>
      <c r="I188" s="78" t="s">
        <v>779</v>
      </c>
      <c r="J188" s="79" t="s">
        <v>780</v>
      </c>
      <c r="K188" s="78">
        <v>11197</v>
      </c>
      <c r="L188" s="78" t="s">
        <v>781</v>
      </c>
      <c r="M188" s="79" t="s">
        <v>630</v>
      </c>
      <c r="N188" s="79" t="s">
        <v>631</v>
      </c>
      <c r="O188" s="80" t="s">
        <v>782</v>
      </c>
      <c r="P188" s="80" t="s">
        <v>769</v>
      </c>
    </row>
    <row r="189" spans="1:16" x14ac:dyDescent="0.2">
      <c r="A189" s="32" t="str">
        <f t="shared" si="12"/>
        <v> JAAVSO 39;177 </v>
      </c>
      <c r="B189" s="15" t="str">
        <f t="shared" si="13"/>
        <v>I</v>
      </c>
      <c r="C189" s="32">
        <f t="shared" si="14"/>
        <v>55506.658100000001</v>
      </c>
      <c r="D189" t="str">
        <f t="shared" si="15"/>
        <v>vis</v>
      </c>
      <c r="E189">
        <f>VLOOKUP(C189,Active!C$21:E$969,3,FALSE)</f>
        <v>11546.012012950378</v>
      </c>
      <c r="F189" s="15" t="s">
        <v>176</v>
      </c>
      <c r="G189" t="str">
        <f t="shared" si="16"/>
        <v>55506.6581</v>
      </c>
      <c r="H189" s="32">
        <f t="shared" si="17"/>
        <v>11546</v>
      </c>
      <c r="I189" s="78" t="s">
        <v>783</v>
      </c>
      <c r="J189" s="79" t="s">
        <v>784</v>
      </c>
      <c r="K189" s="78">
        <v>11546</v>
      </c>
      <c r="L189" s="78" t="s">
        <v>668</v>
      </c>
      <c r="M189" s="79" t="s">
        <v>630</v>
      </c>
      <c r="N189" s="79" t="s">
        <v>176</v>
      </c>
      <c r="O189" s="80" t="s">
        <v>775</v>
      </c>
      <c r="P189" s="80" t="s">
        <v>785</v>
      </c>
    </row>
    <row r="190" spans="1:16" x14ac:dyDescent="0.2">
      <c r="A190" s="32" t="str">
        <f t="shared" si="12"/>
        <v> JAAVSO 39;177 </v>
      </c>
      <c r="B190" s="15" t="str">
        <f t="shared" si="13"/>
        <v>I</v>
      </c>
      <c r="C190" s="32">
        <f t="shared" si="14"/>
        <v>55585.506099999999</v>
      </c>
      <c r="D190" t="str">
        <f t="shared" si="15"/>
        <v>vis</v>
      </c>
      <c r="E190">
        <f>VLOOKUP(C190,Active!C$21:E$969,3,FALSE)</f>
        <v>11638.013985821415</v>
      </c>
      <c r="F190" s="15" t="s">
        <v>176</v>
      </c>
      <c r="G190" t="str">
        <f t="shared" si="16"/>
        <v>55585.5061</v>
      </c>
      <c r="H190" s="32">
        <f t="shared" si="17"/>
        <v>11638</v>
      </c>
      <c r="I190" s="78" t="s">
        <v>786</v>
      </c>
      <c r="J190" s="79" t="s">
        <v>787</v>
      </c>
      <c r="K190" s="78">
        <v>11638</v>
      </c>
      <c r="L190" s="78" t="s">
        <v>788</v>
      </c>
      <c r="M190" s="79" t="s">
        <v>630</v>
      </c>
      <c r="N190" s="79" t="s">
        <v>176</v>
      </c>
      <c r="O190" s="80" t="s">
        <v>782</v>
      </c>
      <c r="P190" s="80" t="s">
        <v>785</v>
      </c>
    </row>
    <row r="191" spans="1:16" x14ac:dyDescent="0.2">
      <c r="A191" s="32" t="str">
        <f t="shared" si="12"/>
        <v> JAAVSO 39;177 </v>
      </c>
      <c r="B191" s="15" t="str">
        <f t="shared" si="13"/>
        <v>I</v>
      </c>
      <c r="C191" s="32">
        <f t="shared" si="14"/>
        <v>55602.6466</v>
      </c>
      <c r="D191" t="str">
        <f t="shared" si="15"/>
        <v>vis</v>
      </c>
      <c r="E191">
        <f>VLOOKUP(C191,Active!C$21:E$969,3,FALSE)</f>
        <v>11658.013983487763</v>
      </c>
      <c r="F191" s="15" t="s">
        <v>176</v>
      </c>
      <c r="G191" t="str">
        <f t="shared" si="16"/>
        <v>55602.6466</v>
      </c>
      <c r="H191" s="32">
        <f t="shared" si="17"/>
        <v>11658</v>
      </c>
      <c r="I191" s="78" t="s">
        <v>789</v>
      </c>
      <c r="J191" s="79" t="s">
        <v>790</v>
      </c>
      <c r="K191" s="78">
        <v>11658</v>
      </c>
      <c r="L191" s="78" t="s">
        <v>788</v>
      </c>
      <c r="M191" s="79" t="s">
        <v>630</v>
      </c>
      <c r="N191" s="79" t="s">
        <v>176</v>
      </c>
      <c r="O191" s="80" t="s">
        <v>763</v>
      </c>
      <c r="P191" s="80" t="s">
        <v>785</v>
      </c>
    </row>
    <row r="192" spans="1:16" x14ac:dyDescent="0.2">
      <c r="A192" s="32" t="str">
        <f t="shared" si="12"/>
        <v>BAVM 231 </v>
      </c>
      <c r="B192" s="15" t="str">
        <f t="shared" si="13"/>
        <v>I</v>
      </c>
      <c r="C192" s="32">
        <f t="shared" si="14"/>
        <v>55849.464699999997</v>
      </c>
      <c r="D192" t="str">
        <f t="shared" si="15"/>
        <v>vis</v>
      </c>
      <c r="E192">
        <f>VLOOKUP(C192,Active!C$21:E$969,3,FALSE)</f>
        <v>11946.0079990656</v>
      </c>
      <c r="F192" s="15" t="s">
        <v>176</v>
      </c>
      <c r="G192" t="str">
        <f t="shared" si="16"/>
        <v>55849.4647</v>
      </c>
      <c r="H192" s="32">
        <f t="shared" si="17"/>
        <v>11946</v>
      </c>
      <c r="I192" s="78" t="s">
        <v>791</v>
      </c>
      <c r="J192" s="79" t="s">
        <v>792</v>
      </c>
      <c r="K192" s="78">
        <v>11946</v>
      </c>
      <c r="L192" s="78" t="s">
        <v>793</v>
      </c>
      <c r="M192" s="79" t="s">
        <v>630</v>
      </c>
      <c r="N192" s="79" t="s">
        <v>625</v>
      </c>
      <c r="O192" s="80" t="s">
        <v>794</v>
      </c>
      <c r="P192" s="81" t="s">
        <v>795</v>
      </c>
    </row>
    <row r="193" spans="1:16" x14ac:dyDescent="0.2">
      <c r="A193" s="32" t="str">
        <f t="shared" si="12"/>
        <v>IBVS 6011 </v>
      </c>
      <c r="B193" s="15" t="str">
        <f t="shared" si="13"/>
        <v>I</v>
      </c>
      <c r="C193" s="32">
        <f t="shared" si="14"/>
        <v>55852.892399999997</v>
      </c>
      <c r="D193" t="str">
        <f t="shared" si="15"/>
        <v>vis</v>
      </c>
      <c r="E193">
        <f>VLOOKUP(C193,Active!C$21:E$969,3,FALSE)</f>
        <v>11950.007531868081</v>
      </c>
      <c r="F193" s="15" t="s">
        <v>176</v>
      </c>
      <c r="G193" t="str">
        <f t="shared" si="16"/>
        <v>55852.8924</v>
      </c>
      <c r="H193" s="32">
        <f t="shared" si="17"/>
        <v>11950</v>
      </c>
      <c r="I193" s="78" t="s">
        <v>796</v>
      </c>
      <c r="J193" s="79" t="s">
        <v>797</v>
      </c>
      <c r="K193" s="78">
        <v>11950</v>
      </c>
      <c r="L193" s="78" t="s">
        <v>798</v>
      </c>
      <c r="M193" s="79" t="s">
        <v>630</v>
      </c>
      <c r="N193" s="79" t="s">
        <v>176</v>
      </c>
      <c r="O193" s="80" t="s">
        <v>228</v>
      </c>
      <c r="P193" s="81" t="s">
        <v>799</v>
      </c>
    </row>
    <row r="194" spans="1:16" x14ac:dyDescent="0.2">
      <c r="A194" s="32" t="str">
        <f t="shared" si="12"/>
        <v>BAVM 232 </v>
      </c>
      <c r="B194" s="15" t="str">
        <f t="shared" si="13"/>
        <v>I</v>
      </c>
      <c r="C194" s="32">
        <f t="shared" si="14"/>
        <v>55964.313199999997</v>
      </c>
      <c r="D194" t="str">
        <f t="shared" si="15"/>
        <v>vis</v>
      </c>
      <c r="E194">
        <f>VLOOKUP(C194,Active!C$21:E$969,3,FALSE)</f>
        <v>12080.016326242949</v>
      </c>
      <c r="F194" s="15" t="s">
        <v>176</v>
      </c>
      <c r="G194" t="str">
        <f t="shared" si="16"/>
        <v>55964.3132</v>
      </c>
      <c r="H194" s="32">
        <f t="shared" si="17"/>
        <v>12080</v>
      </c>
      <c r="I194" s="78" t="s">
        <v>800</v>
      </c>
      <c r="J194" s="79" t="s">
        <v>801</v>
      </c>
      <c r="K194" s="78">
        <v>12080</v>
      </c>
      <c r="L194" s="78" t="s">
        <v>728</v>
      </c>
      <c r="M194" s="79" t="s">
        <v>630</v>
      </c>
      <c r="N194" s="79">
        <v>0</v>
      </c>
      <c r="O194" s="80" t="s">
        <v>802</v>
      </c>
      <c r="P194" s="81" t="s">
        <v>803</v>
      </c>
    </row>
    <row r="195" spans="1:16" x14ac:dyDescent="0.2">
      <c r="A195" s="32" t="str">
        <f t="shared" si="12"/>
        <v> JAAVSO 41;122 </v>
      </c>
      <c r="B195" s="15" t="str">
        <f t="shared" si="13"/>
        <v>I</v>
      </c>
      <c r="C195" s="32">
        <f t="shared" si="14"/>
        <v>56212.843099999998</v>
      </c>
      <c r="D195" t="str">
        <f t="shared" si="15"/>
        <v>vis</v>
      </c>
      <c r="E195">
        <f>VLOOKUP(C195,Active!C$21:E$969,3,FALSE)</f>
        <v>12370.007716226744</v>
      </c>
      <c r="F195" s="15" t="s">
        <v>176</v>
      </c>
      <c r="G195" t="str">
        <f t="shared" si="16"/>
        <v>56212.8431</v>
      </c>
      <c r="H195" s="32">
        <f t="shared" si="17"/>
        <v>12370</v>
      </c>
      <c r="I195" s="78" t="s">
        <v>804</v>
      </c>
      <c r="J195" s="79" t="s">
        <v>805</v>
      </c>
      <c r="K195" s="78">
        <v>12370</v>
      </c>
      <c r="L195" s="78" t="s">
        <v>642</v>
      </c>
      <c r="M195" s="79" t="s">
        <v>630</v>
      </c>
      <c r="N195" s="79" t="s">
        <v>176</v>
      </c>
      <c r="O195" s="80" t="s">
        <v>782</v>
      </c>
      <c r="P195" s="80" t="s">
        <v>152</v>
      </c>
    </row>
    <row r="196" spans="1:16" x14ac:dyDescent="0.2">
      <c r="A196" s="32" t="str">
        <f t="shared" si="12"/>
        <v> JAAVSO 41;122 </v>
      </c>
      <c r="B196" s="15" t="str">
        <f t="shared" si="13"/>
        <v>I</v>
      </c>
      <c r="C196" s="32">
        <f t="shared" si="14"/>
        <v>56255.694499999998</v>
      </c>
      <c r="D196" t="str">
        <f t="shared" si="15"/>
        <v>vis</v>
      </c>
      <c r="E196">
        <f>VLOOKUP(C196,Active!C$21:E$969,3,FALSE)</f>
        <v>12420.007885416653</v>
      </c>
      <c r="F196" s="15" t="s">
        <v>176</v>
      </c>
      <c r="G196" t="str">
        <f t="shared" si="16"/>
        <v>56255.6945</v>
      </c>
      <c r="H196" s="32">
        <f t="shared" si="17"/>
        <v>12420</v>
      </c>
      <c r="I196" s="78" t="s">
        <v>806</v>
      </c>
      <c r="J196" s="79" t="s">
        <v>807</v>
      </c>
      <c r="K196" s="78">
        <v>12420</v>
      </c>
      <c r="L196" s="78" t="s">
        <v>532</v>
      </c>
      <c r="M196" s="79" t="s">
        <v>630</v>
      </c>
      <c r="N196" s="79" t="s">
        <v>176</v>
      </c>
      <c r="O196" s="80" t="s">
        <v>775</v>
      </c>
      <c r="P196" s="80" t="s">
        <v>152</v>
      </c>
    </row>
    <row r="197" spans="1:16" x14ac:dyDescent="0.2">
      <c r="A197" s="32" t="str">
        <f t="shared" si="12"/>
        <v>IBVS 6042 </v>
      </c>
      <c r="B197" s="15" t="str">
        <f t="shared" si="13"/>
        <v>I</v>
      </c>
      <c r="C197" s="32">
        <f t="shared" si="14"/>
        <v>56279.693200000002</v>
      </c>
      <c r="D197" t="str">
        <f t="shared" si="15"/>
        <v>vis</v>
      </c>
      <c r="E197">
        <f>VLOOKUP(C197,Active!C$21:E$969,3,FALSE)</f>
        <v>12448.010215803481</v>
      </c>
      <c r="F197" s="15" t="s">
        <v>176</v>
      </c>
      <c r="G197" t="str">
        <f t="shared" si="16"/>
        <v>56279.6932</v>
      </c>
      <c r="H197" s="32">
        <f t="shared" si="17"/>
        <v>12448</v>
      </c>
      <c r="I197" s="78" t="s">
        <v>808</v>
      </c>
      <c r="J197" s="79" t="s">
        <v>809</v>
      </c>
      <c r="K197" s="78">
        <v>12448</v>
      </c>
      <c r="L197" s="78" t="s">
        <v>810</v>
      </c>
      <c r="M197" s="79" t="s">
        <v>630</v>
      </c>
      <c r="N197" s="79" t="s">
        <v>176</v>
      </c>
      <c r="O197" s="80" t="s">
        <v>228</v>
      </c>
      <c r="P197" s="81" t="s">
        <v>811</v>
      </c>
    </row>
    <row r="198" spans="1:16" x14ac:dyDescent="0.2">
      <c r="A198" s="32" t="str">
        <f t="shared" si="12"/>
        <v> JAAVSO 42;426 </v>
      </c>
      <c r="B198" s="15" t="str">
        <f t="shared" si="13"/>
        <v>I</v>
      </c>
      <c r="C198" s="32">
        <f t="shared" si="14"/>
        <v>56566.793100000003</v>
      </c>
      <c r="D198" t="str">
        <f t="shared" si="15"/>
        <v>vis</v>
      </c>
      <c r="E198">
        <f>VLOOKUP(C198,Active!C$21:E$969,3,FALSE)</f>
        <v>12783.00612199106</v>
      </c>
      <c r="F198" s="15" t="s">
        <v>176</v>
      </c>
      <c r="G198" t="str">
        <f t="shared" si="16"/>
        <v>56566.7931</v>
      </c>
      <c r="H198" s="32">
        <f t="shared" si="17"/>
        <v>12783</v>
      </c>
      <c r="I198" s="78" t="s">
        <v>812</v>
      </c>
      <c r="J198" s="79" t="s">
        <v>813</v>
      </c>
      <c r="K198" s="78">
        <v>12783</v>
      </c>
      <c r="L198" s="78" t="s">
        <v>629</v>
      </c>
      <c r="M198" s="79" t="s">
        <v>630</v>
      </c>
      <c r="N198" s="79" t="s">
        <v>176</v>
      </c>
      <c r="O198" s="80" t="s">
        <v>763</v>
      </c>
      <c r="P198" s="80" t="s">
        <v>814</v>
      </c>
    </row>
    <row r="199" spans="1:16" x14ac:dyDescent="0.2">
      <c r="A199" s="32" t="str">
        <f t="shared" si="12"/>
        <v> JAAVSO 42;426 </v>
      </c>
      <c r="B199" s="15" t="str">
        <f t="shared" si="13"/>
        <v>I</v>
      </c>
      <c r="C199" s="32">
        <f t="shared" si="14"/>
        <v>56681.634899999997</v>
      </c>
      <c r="D199" t="str">
        <f t="shared" si="15"/>
        <v>vis</v>
      </c>
      <c r="E199">
        <f>VLOOKUP(C199,Active!C$21:E$969,3,FALSE)</f>
        <v>12917.00663142771</v>
      </c>
      <c r="F199" s="15" t="s">
        <v>176</v>
      </c>
      <c r="G199" t="str">
        <f t="shared" si="16"/>
        <v>56681.6349</v>
      </c>
      <c r="H199" s="32">
        <f t="shared" si="17"/>
        <v>12917</v>
      </c>
      <c r="I199" s="78" t="s">
        <v>815</v>
      </c>
      <c r="J199" s="79" t="s">
        <v>816</v>
      </c>
      <c r="K199" s="78">
        <v>12917</v>
      </c>
      <c r="L199" s="78" t="s">
        <v>599</v>
      </c>
      <c r="M199" s="79" t="s">
        <v>630</v>
      </c>
      <c r="N199" s="79" t="s">
        <v>176</v>
      </c>
      <c r="O199" s="80" t="s">
        <v>782</v>
      </c>
      <c r="P199" s="80" t="s">
        <v>814</v>
      </c>
    </row>
    <row r="200" spans="1:16" x14ac:dyDescent="0.2">
      <c r="A200" s="32" t="str">
        <f t="shared" si="12"/>
        <v> AOEB 11 </v>
      </c>
      <c r="B200" s="15" t="str">
        <f t="shared" si="13"/>
        <v>I</v>
      </c>
      <c r="C200" s="32">
        <f t="shared" si="14"/>
        <v>43420.756000000001</v>
      </c>
      <c r="D200" t="str">
        <f t="shared" si="15"/>
        <v>vis</v>
      </c>
      <c r="E200">
        <f>VLOOKUP(C200,Active!C$21:E$969,3,FALSE)</f>
        <v>-2556.1445049859103</v>
      </c>
      <c r="F200" s="15" t="s">
        <v>176</v>
      </c>
      <c r="G200" t="str">
        <f t="shared" si="16"/>
        <v>43420.756</v>
      </c>
      <c r="H200" s="32">
        <f t="shared" si="17"/>
        <v>-2556</v>
      </c>
      <c r="I200" s="78" t="s">
        <v>817</v>
      </c>
      <c r="J200" s="79" t="s">
        <v>818</v>
      </c>
      <c r="K200" s="78">
        <v>-2556</v>
      </c>
      <c r="L200" s="78" t="s">
        <v>819</v>
      </c>
      <c r="M200" s="79" t="s">
        <v>220</v>
      </c>
      <c r="N200" s="79"/>
      <c r="O200" s="80" t="s">
        <v>763</v>
      </c>
      <c r="P200" s="80" t="s">
        <v>56</v>
      </c>
    </row>
    <row r="201" spans="1:16" x14ac:dyDescent="0.2">
      <c r="A201" s="32" t="str">
        <f t="shared" si="12"/>
        <v> AOEB 11 </v>
      </c>
      <c r="B201" s="15" t="str">
        <f t="shared" si="13"/>
        <v>I</v>
      </c>
      <c r="C201" s="32">
        <f t="shared" si="14"/>
        <v>43469.580999999998</v>
      </c>
      <c r="D201" t="str">
        <f t="shared" si="15"/>
        <v>vis</v>
      </c>
      <c r="E201">
        <f>VLOOKUP(C201,Active!C$21:E$969,3,FALSE)</f>
        <v>-2499.1741782125205</v>
      </c>
      <c r="F201" s="15" t="s">
        <v>176</v>
      </c>
      <c r="G201" t="str">
        <f t="shared" si="16"/>
        <v>43469.581</v>
      </c>
      <c r="H201" s="32">
        <f t="shared" si="17"/>
        <v>-2499</v>
      </c>
      <c r="I201" s="78" t="s">
        <v>820</v>
      </c>
      <c r="J201" s="79" t="s">
        <v>821</v>
      </c>
      <c r="K201" s="78">
        <v>-2499</v>
      </c>
      <c r="L201" s="78" t="s">
        <v>822</v>
      </c>
      <c r="M201" s="79" t="s">
        <v>220</v>
      </c>
      <c r="N201" s="79"/>
      <c r="O201" s="80" t="s">
        <v>763</v>
      </c>
      <c r="P201" s="80" t="s">
        <v>56</v>
      </c>
    </row>
    <row r="202" spans="1:16" x14ac:dyDescent="0.2">
      <c r="A202" s="32" t="str">
        <f t="shared" si="12"/>
        <v> AOEB 11 </v>
      </c>
      <c r="B202" s="15" t="str">
        <f t="shared" si="13"/>
        <v>I</v>
      </c>
      <c r="C202" s="32">
        <f t="shared" si="14"/>
        <v>43798.694000000003</v>
      </c>
      <c r="D202" t="str">
        <f t="shared" si="15"/>
        <v>vis</v>
      </c>
      <c r="E202">
        <f>VLOOKUP(C202,Active!C$21:E$969,3,FALSE)</f>
        <v>-2115.1562538833441</v>
      </c>
      <c r="F202" s="15" t="s">
        <v>176</v>
      </c>
      <c r="G202" t="str">
        <f t="shared" si="16"/>
        <v>43798.694</v>
      </c>
      <c r="H202" s="32">
        <f t="shared" si="17"/>
        <v>-2115</v>
      </c>
      <c r="I202" s="78" t="s">
        <v>823</v>
      </c>
      <c r="J202" s="79" t="s">
        <v>824</v>
      </c>
      <c r="K202" s="78">
        <v>-2115</v>
      </c>
      <c r="L202" s="78" t="s">
        <v>825</v>
      </c>
      <c r="M202" s="79" t="s">
        <v>220</v>
      </c>
      <c r="N202" s="79"/>
      <c r="O202" s="80" t="s">
        <v>763</v>
      </c>
      <c r="P202" s="80" t="s">
        <v>56</v>
      </c>
    </row>
    <row r="203" spans="1:16" x14ac:dyDescent="0.2">
      <c r="A203" s="32" t="str">
        <f t="shared" ref="A203:A235" si="18">P203</f>
        <v> AOEB 11 </v>
      </c>
      <c r="B203" s="15" t="str">
        <f t="shared" ref="B203:B235" si="19">IF(H203=INT(H203),"I","II")</f>
        <v>I</v>
      </c>
      <c r="C203" s="32">
        <f t="shared" ref="C203:C235" si="20">1*G203</f>
        <v>43876.66</v>
      </c>
      <c r="D203" t="str">
        <f t="shared" ref="D203:D235" si="21">VLOOKUP(F203,I$1:J$5,2,FALSE)</f>
        <v>vis</v>
      </c>
      <c r="E203">
        <f>VLOOKUP(C203,Active!C$21:E$969,3,FALSE)</f>
        <v>-2024.1834223991784</v>
      </c>
      <c r="F203" s="15" t="s">
        <v>176</v>
      </c>
      <c r="G203" t="str">
        <f t="shared" ref="G203:G235" si="22">MID(I203,3,LEN(I203)-3)</f>
        <v>43876.660</v>
      </c>
      <c r="H203" s="32">
        <f t="shared" ref="H203:H235" si="23">1*K203</f>
        <v>-2024</v>
      </c>
      <c r="I203" s="78" t="s">
        <v>826</v>
      </c>
      <c r="J203" s="79" t="s">
        <v>827</v>
      </c>
      <c r="K203" s="78">
        <v>-2024</v>
      </c>
      <c r="L203" s="78" t="s">
        <v>828</v>
      </c>
      <c r="M203" s="79" t="s">
        <v>220</v>
      </c>
      <c r="N203" s="79"/>
      <c r="O203" s="80" t="s">
        <v>763</v>
      </c>
      <c r="P203" s="80" t="s">
        <v>56</v>
      </c>
    </row>
    <row r="204" spans="1:16" x14ac:dyDescent="0.2">
      <c r="A204" s="32" t="str">
        <f t="shared" si="18"/>
        <v> AOEB 11 </v>
      </c>
      <c r="B204" s="15" t="str">
        <f t="shared" si="19"/>
        <v>I</v>
      </c>
      <c r="C204" s="32">
        <f t="shared" si="20"/>
        <v>44236.618999999999</v>
      </c>
      <c r="D204" t="str">
        <f t="shared" si="21"/>
        <v>vis</v>
      </c>
      <c r="E204">
        <f>VLOOKUP(C204,Active!C$21:E$969,3,FALSE)</f>
        <v>-1604.173553376678</v>
      </c>
      <c r="F204" s="15" t="s">
        <v>176</v>
      </c>
      <c r="G204" t="str">
        <f t="shared" si="22"/>
        <v>44236.619</v>
      </c>
      <c r="H204" s="32">
        <f t="shared" si="23"/>
        <v>-1604</v>
      </c>
      <c r="I204" s="78" t="s">
        <v>829</v>
      </c>
      <c r="J204" s="79" t="s">
        <v>830</v>
      </c>
      <c r="K204" s="78">
        <v>-1604</v>
      </c>
      <c r="L204" s="78" t="s">
        <v>822</v>
      </c>
      <c r="M204" s="79" t="s">
        <v>220</v>
      </c>
      <c r="N204" s="79"/>
      <c r="O204" s="80" t="s">
        <v>763</v>
      </c>
      <c r="P204" s="80" t="s">
        <v>56</v>
      </c>
    </row>
    <row r="205" spans="1:16" x14ac:dyDescent="0.2">
      <c r="A205" s="32" t="str">
        <f t="shared" si="18"/>
        <v> AOEB 11 </v>
      </c>
      <c r="B205" s="15" t="str">
        <f t="shared" si="19"/>
        <v>I</v>
      </c>
      <c r="C205" s="32">
        <f t="shared" si="20"/>
        <v>46028.743999999999</v>
      </c>
      <c r="D205" t="str">
        <f t="shared" si="21"/>
        <v>vis</v>
      </c>
      <c r="E205">
        <f>VLOOKUP(C205,Active!C$21:E$969,3,FALSE)</f>
        <v>486.92622888174134</v>
      </c>
      <c r="F205" s="15" t="s">
        <v>176</v>
      </c>
      <c r="G205" t="str">
        <f t="shared" si="22"/>
        <v>46028.744</v>
      </c>
      <c r="H205" s="32">
        <f t="shared" si="23"/>
        <v>487</v>
      </c>
      <c r="I205" s="78" t="s">
        <v>831</v>
      </c>
      <c r="J205" s="79" t="s">
        <v>832</v>
      </c>
      <c r="K205" s="78">
        <v>487</v>
      </c>
      <c r="L205" s="78" t="s">
        <v>833</v>
      </c>
      <c r="M205" s="79" t="s">
        <v>220</v>
      </c>
      <c r="N205" s="79"/>
      <c r="O205" s="80" t="s">
        <v>763</v>
      </c>
      <c r="P205" s="80" t="s">
        <v>56</v>
      </c>
    </row>
    <row r="206" spans="1:16" x14ac:dyDescent="0.2">
      <c r="A206" s="32" t="str">
        <f t="shared" si="18"/>
        <v> BRNO 27 </v>
      </c>
      <c r="B206" s="15" t="str">
        <f t="shared" si="19"/>
        <v>I</v>
      </c>
      <c r="C206" s="32">
        <f t="shared" si="20"/>
        <v>46294.474000000002</v>
      </c>
      <c r="D206" t="str">
        <f t="shared" si="21"/>
        <v>vis</v>
      </c>
      <c r="E206">
        <f>VLOOKUP(C206,Active!C$21:E$969,3,FALSE)</f>
        <v>796.98715941925207</v>
      </c>
      <c r="F206" s="15" t="s">
        <v>176</v>
      </c>
      <c r="G206" t="str">
        <f t="shared" si="22"/>
        <v>46294.474</v>
      </c>
      <c r="H206" s="32">
        <f t="shared" si="23"/>
        <v>797</v>
      </c>
      <c r="I206" s="78" t="s">
        <v>834</v>
      </c>
      <c r="J206" s="79" t="s">
        <v>835</v>
      </c>
      <c r="K206" s="78">
        <v>797</v>
      </c>
      <c r="L206" s="78" t="s">
        <v>185</v>
      </c>
      <c r="M206" s="79" t="s">
        <v>220</v>
      </c>
      <c r="N206" s="79"/>
      <c r="O206" s="80" t="s">
        <v>535</v>
      </c>
      <c r="P206" s="80" t="s">
        <v>76</v>
      </c>
    </row>
    <row r="207" spans="1:16" x14ac:dyDescent="0.2">
      <c r="A207" s="32" t="str">
        <f t="shared" si="18"/>
        <v> BRNO 27 </v>
      </c>
      <c r="B207" s="15" t="str">
        <f t="shared" si="19"/>
        <v>I</v>
      </c>
      <c r="C207" s="32">
        <f t="shared" si="20"/>
        <v>46294.483</v>
      </c>
      <c r="D207" t="str">
        <f t="shared" si="21"/>
        <v>vis</v>
      </c>
      <c r="E207">
        <f>VLOOKUP(C207,Active!C$21:E$969,3,FALSE)</f>
        <v>796.99766086197326</v>
      </c>
      <c r="F207" s="15" t="s">
        <v>176</v>
      </c>
      <c r="G207" t="str">
        <f t="shared" si="22"/>
        <v>46294.483</v>
      </c>
      <c r="H207" s="32">
        <f t="shared" si="23"/>
        <v>797</v>
      </c>
      <c r="I207" s="78" t="s">
        <v>836</v>
      </c>
      <c r="J207" s="79" t="s">
        <v>837</v>
      </c>
      <c r="K207" s="78">
        <v>797</v>
      </c>
      <c r="L207" s="78" t="s">
        <v>838</v>
      </c>
      <c r="M207" s="79" t="s">
        <v>220</v>
      </c>
      <c r="N207" s="79"/>
      <c r="O207" s="80" t="s">
        <v>839</v>
      </c>
      <c r="P207" s="80" t="s">
        <v>76</v>
      </c>
    </row>
    <row r="208" spans="1:16" x14ac:dyDescent="0.2">
      <c r="A208" s="32" t="str">
        <f t="shared" si="18"/>
        <v> BRNO 27 </v>
      </c>
      <c r="B208" s="15" t="str">
        <f t="shared" si="19"/>
        <v>I</v>
      </c>
      <c r="C208" s="32">
        <f t="shared" si="20"/>
        <v>46294.483</v>
      </c>
      <c r="D208" t="str">
        <f t="shared" si="21"/>
        <v>vis</v>
      </c>
      <c r="E208">
        <f>VLOOKUP(C208,Active!C$21:E$969,3,FALSE)</f>
        <v>796.99766086197326</v>
      </c>
      <c r="F208" s="15" t="s">
        <v>176</v>
      </c>
      <c r="G208" t="str">
        <f t="shared" si="22"/>
        <v>46294.483</v>
      </c>
      <c r="H208" s="32">
        <f t="shared" si="23"/>
        <v>797</v>
      </c>
      <c r="I208" s="78" t="s">
        <v>836</v>
      </c>
      <c r="J208" s="79" t="s">
        <v>837</v>
      </c>
      <c r="K208" s="78">
        <v>797</v>
      </c>
      <c r="L208" s="78" t="s">
        <v>838</v>
      </c>
      <c r="M208" s="79" t="s">
        <v>220</v>
      </c>
      <c r="N208" s="79"/>
      <c r="O208" s="80" t="s">
        <v>364</v>
      </c>
      <c r="P208" s="80" t="s">
        <v>76</v>
      </c>
    </row>
    <row r="209" spans="1:16" x14ac:dyDescent="0.2">
      <c r="A209" s="32" t="str">
        <f t="shared" si="18"/>
        <v>BAVM 56 </v>
      </c>
      <c r="B209" s="15" t="str">
        <f t="shared" si="19"/>
        <v>I</v>
      </c>
      <c r="C209" s="32">
        <f t="shared" si="20"/>
        <v>47847.418400000002</v>
      </c>
      <c r="D209" t="str">
        <f t="shared" si="21"/>
        <v>vis</v>
      </c>
      <c r="E209">
        <f>VLOOKUP(C209,Active!C$21:E$969,3,FALSE)</f>
        <v>2609.0045670774412</v>
      </c>
      <c r="F209" s="15" t="s">
        <v>176</v>
      </c>
      <c r="G209" t="str">
        <f t="shared" si="22"/>
        <v>47847.4184</v>
      </c>
      <c r="H209" s="32">
        <f t="shared" si="23"/>
        <v>2609</v>
      </c>
      <c r="I209" s="78" t="s">
        <v>840</v>
      </c>
      <c r="J209" s="79" t="s">
        <v>841</v>
      </c>
      <c r="K209" s="78">
        <v>2609</v>
      </c>
      <c r="L209" s="78" t="s">
        <v>842</v>
      </c>
      <c r="M209" s="79" t="s">
        <v>533</v>
      </c>
      <c r="N209" s="79" t="s">
        <v>843</v>
      </c>
      <c r="O209" s="80" t="s">
        <v>680</v>
      </c>
      <c r="P209" s="81" t="s">
        <v>92</v>
      </c>
    </row>
    <row r="210" spans="1:16" x14ac:dyDescent="0.2">
      <c r="A210" s="32" t="str">
        <f t="shared" si="18"/>
        <v> AOEB 11 </v>
      </c>
      <c r="B210" s="15" t="str">
        <f t="shared" si="19"/>
        <v>I</v>
      </c>
      <c r="C210" s="32">
        <f t="shared" si="20"/>
        <v>50369.648999999998</v>
      </c>
      <c r="D210" t="str">
        <f t="shared" si="21"/>
        <v>vis</v>
      </c>
      <c r="E210">
        <f>VLOOKUP(C210,Active!C$21:E$969,3,FALSE)</f>
        <v>5552.0112538127487</v>
      </c>
      <c r="F210" s="15" t="s">
        <v>176</v>
      </c>
      <c r="G210" t="str">
        <f t="shared" si="22"/>
        <v>50369.649</v>
      </c>
      <c r="H210" s="32">
        <f t="shared" si="23"/>
        <v>5552</v>
      </c>
      <c r="I210" s="78" t="s">
        <v>844</v>
      </c>
      <c r="J210" s="79" t="s">
        <v>845</v>
      </c>
      <c r="K210" s="78">
        <v>5552</v>
      </c>
      <c r="L210" s="78" t="s">
        <v>319</v>
      </c>
      <c r="M210" s="79" t="s">
        <v>630</v>
      </c>
      <c r="N210" s="79" t="s">
        <v>631</v>
      </c>
      <c r="O210" s="80" t="s">
        <v>846</v>
      </c>
      <c r="P210" s="80" t="s">
        <v>56</v>
      </c>
    </row>
    <row r="211" spans="1:16" x14ac:dyDescent="0.2">
      <c r="A211" s="32" t="str">
        <f t="shared" si="18"/>
        <v>VSB 40 </v>
      </c>
      <c r="B211" s="15" t="str">
        <f t="shared" si="19"/>
        <v>I</v>
      </c>
      <c r="C211" s="32">
        <f t="shared" si="20"/>
        <v>52585.058599999997</v>
      </c>
      <c r="D211" t="str">
        <f t="shared" si="21"/>
        <v>vis</v>
      </c>
      <c r="E211">
        <f>VLOOKUP(C211,Active!C$21:E$969,3,FALSE)</f>
        <v>8137.010923017302</v>
      </c>
      <c r="F211" s="15" t="s">
        <v>176</v>
      </c>
      <c r="G211" t="str">
        <f t="shared" si="22"/>
        <v>52585.0586</v>
      </c>
      <c r="H211" s="32">
        <f t="shared" si="23"/>
        <v>8137</v>
      </c>
      <c r="I211" s="78" t="s">
        <v>847</v>
      </c>
      <c r="J211" s="79" t="s">
        <v>848</v>
      </c>
      <c r="K211" s="78">
        <v>8137</v>
      </c>
      <c r="L211" s="78" t="s">
        <v>673</v>
      </c>
      <c r="M211" s="79" t="s">
        <v>533</v>
      </c>
      <c r="N211" s="79" t="s">
        <v>650</v>
      </c>
      <c r="O211" s="80" t="s">
        <v>849</v>
      </c>
      <c r="P211" s="81" t="s">
        <v>115</v>
      </c>
    </row>
    <row r="212" spans="1:16" x14ac:dyDescent="0.2">
      <c r="A212" s="32" t="str">
        <f t="shared" si="18"/>
        <v> AOEB 11 </v>
      </c>
      <c r="B212" s="15" t="str">
        <f t="shared" si="19"/>
        <v>I</v>
      </c>
      <c r="C212" s="32">
        <f t="shared" si="20"/>
        <v>52586.769800000002</v>
      </c>
      <c r="D212" t="str">
        <f t="shared" si="21"/>
        <v>vis</v>
      </c>
      <c r="E212">
        <f>VLOOKUP(C212,Active!C$21:E$969,3,FALSE)</f>
        <v>8139.0075973270796</v>
      </c>
      <c r="F212" s="15" t="s">
        <v>176</v>
      </c>
      <c r="G212" t="str">
        <f t="shared" si="22"/>
        <v>52586.7698</v>
      </c>
      <c r="H212" s="32">
        <f t="shared" si="23"/>
        <v>8139</v>
      </c>
      <c r="I212" s="78" t="s">
        <v>850</v>
      </c>
      <c r="J212" s="79" t="s">
        <v>851</v>
      </c>
      <c r="K212" s="78">
        <v>8139</v>
      </c>
      <c r="L212" s="78" t="s">
        <v>798</v>
      </c>
      <c r="M212" s="79" t="s">
        <v>630</v>
      </c>
      <c r="N212" s="79" t="s">
        <v>631</v>
      </c>
      <c r="O212" s="80" t="s">
        <v>685</v>
      </c>
      <c r="P212" s="80" t="s">
        <v>56</v>
      </c>
    </row>
    <row r="213" spans="1:16" x14ac:dyDescent="0.2">
      <c r="A213" s="32" t="str">
        <f t="shared" si="18"/>
        <v> AOEB 11 </v>
      </c>
      <c r="B213" s="15" t="str">
        <f t="shared" si="19"/>
        <v>I</v>
      </c>
      <c r="C213" s="32">
        <f t="shared" si="20"/>
        <v>52611.623</v>
      </c>
      <c r="D213" t="str">
        <f t="shared" si="21"/>
        <v>vis</v>
      </c>
      <c r="E213">
        <f>VLOOKUP(C213,Active!C$21:E$969,3,FALSE)</f>
        <v>8168.0069813591199</v>
      </c>
      <c r="F213" s="15" t="s">
        <v>176</v>
      </c>
      <c r="G213" t="str">
        <f t="shared" si="22"/>
        <v>52611.6230</v>
      </c>
      <c r="H213" s="32">
        <f t="shared" si="23"/>
        <v>8168</v>
      </c>
      <c r="I213" s="78" t="s">
        <v>852</v>
      </c>
      <c r="J213" s="79" t="s">
        <v>853</v>
      </c>
      <c r="K213" s="78">
        <v>8168</v>
      </c>
      <c r="L213" s="78" t="s">
        <v>854</v>
      </c>
      <c r="M213" s="79" t="s">
        <v>630</v>
      </c>
      <c r="N213" s="79" t="s">
        <v>631</v>
      </c>
      <c r="O213" s="80" t="s">
        <v>855</v>
      </c>
      <c r="P213" s="80" t="s">
        <v>56</v>
      </c>
    </row>
    <row r="214" spans="1:16" x14ac:dyDescent="0.2">
      <c r="A214" s="32" t="str">
        <f t="shared" si="18"/>
        <v>OEJV 0074 </v>
      </c>
      <c r="B214" s="15" t="str">
        <f t="shared" si="19"/>
        <v>I</v>
      </c>
      <c r="C214" s="32">
        <f t="shared" si="20"/>
        <v>52906.432000000001</v>
      </c>
      <c r="D214" t="str">
        <f t="shared" si="21"/>
        <v>vis</v>
      </c>
      <c r="E214">
        <f>VLOOKUP(C214,Active!C$21:E$969,3,FALSE)</f>
        <v>8511.9980733353077</v>
      </c>
      <c r="F214" s="15" t="s">
        <v>176</v>
      </c>
      <c r="G214" t="str">
        <f t="shared" si="22"/>
        <v>52906.432</v>
      </c>
      <c r="H214" s="32">
        <f t="shared" si="23"/>
        <v>8512</v>
      </c>
      <c r="I214" s="78" t="s">
        <v>856</v>
      </c>
      <c r="J214" s="79" t="s">
        <v>857</v>
      </c>
      <c r="K214" s="78">
        <v>8512</v>
      </c>
      <c r="L214" s="78" t="s">
        <v>838</v>
      </c>
      <c r="M214" s="79" t="s">
        <v>220</v>
      </c>
      <c r="N214" s="79"/>
      <c r="O214" s="80" t="s">
        <v>858</v>
      </c>
      <c r="P214" s="81" t="s">
        <v>119</v>
      </c>
    </row>
    <row r="215" spans="1:16" x14ac:dyDescent="0.2">
      <c r="A215" s="32" t="str">
        <f t="shared" si="18"/>
        <v>OEJV 0074 </v>
      </c>
      <c r="B215" s="15" t="str">
        <f t="shared" si="19"/>
        <v>I</v>
      </c>
      <c r="C215" s="32">
        <f t="shared" si="20"/>
        <v>53236.423000000003</v>
      </c>
      <c r="D215" t="str">
        <f t="shared" si="21"/>
        <v>vis</v>
      </c>
      <c r="E215">
        <f>VLOOKUP(C215,Active!C$21:E$969,3,FALSE)</f>
        <v>8897.0404717434776</v>
      </c>
      <c r="F215" s="15" t="s">
        <v>176</v>
      </c>
      <c r="G215" t="str">
        <f t="shared" si="22"/>
        <v>53236.423</v>
      </c>
      <c r="H215" s="32">
        <f t="shared" si="23"/>
        <v>8897</v>
      </c>
      <c r="I215" s="78" t="s">
        <v>859</v>
      </c>
      <c r="J215" s="79" t="s">
        <v>860</v>
      </c>
      <c r="K215" s="78">
        <v>8897</v>
      </c>
      <c r="L215" s="78" t="s">
        <v>861</v>
      </c>
      <c r="M215" s="79" t="s">
        <v>220</v>
      </c>
      <c r="N215" s="79"/>
      <c r="O215" s="80" t="s">
        <v>862</v>
      </c>
      <c r="P215" s="81" t="s">
        <v>119</v>
      </c>
    </row>
    <row r="216" spans="1:16" x14ac:dyDescent="0.2">
      <c r="A216" s="32" t="str">
        <f t="shared" si="18"/>
        <v> AOEB 11 </v>
      </c>
      <c r="B216" s="15" t="str">
        <f t="shared" si="19"/>
        <v>I</v>
      </c>
      <c r="C216" s="32">
        <f t="shared" si="20"/>
        <v>53312.671000000002</v>
      </c>
      <c r="D216" t="str">
        <f t="shared" si="21"/>
        <v>vis</v>
      </c>
      <c r="E216">
        <f>VLOOKUP(C216,Active!C$21:E$969,3,FALSE)</f>
        <v>8986.0086944944796</v>
      </c>
      <c r="F216" s="15" t="s">
        <v>176</v>
      </c>
      <c r="G216" t="str">
        <f t="shared" si="22"/>
        <v>53312.671</v>
      </c>
      <c r="H216" s="32">
        <f t="shared" si="23"/>
        <v>8986</v>
      </c>
      <c r="I216" s="78" t="s">
        <v>863</v>
      </c>
      <c r="J216" s="79" t="s">
        <v>864</v>
      </c>
      <c r="K216" s="78" t="s">
        <v>865</v>
      </c>
      <c r="L216" s="78" t="s">
        <v>264</v>
      </c>
      <c r="M216" s="79" t="s">
        <v>630</v>
      </c>
      <c r="N216" s="79" t="s">
        <v>631</v>
      </c>
      <c r="O216" s="80" t="s">
        <v>846</v>
      </c>
      <c r="P216" s="80" t="s">
        <v>56</v>
      </c>
    </row>
    <row r="217" spans="1:16" x14ac:dyDescent="0.2">
      <c r="A217" s="32" t="str">
        <f t="shared" si="18"/>
        <v>OEJV 0074 </v>
      </c>
      <c r="B217" s="15" t="str">
        <f t="shared" si="19"/>
        <v>I</v>
      </c>
      <c r="C217" s="32">
        <f t="shared" si="20"/>
        <v>53350.379000000001</v>
      </c>
      <c r="D217" t="str">
        <f t="shared" si="21"/>
        <v>vis</v>
      </c>
      <c r="E217">
        <f>VLOOKUP(C217,Active!C$21:E$969,3,FALSE)</f>
        <v>9030.0074058507726</v>
      </c>
      <c r="F217" s="15" t="s">
        <v>176</v>
      </c>
      <c r="G217" t="str">
        <f t="shared" si="22"/>
        <v>53350.379</v>
      </c>
      <c r="H217" s="32">
        <f t="shared" si="23"/>
        <v>9030</v>
      </c>
      <c r="I217" s="78" t="s">
        <v>866</v>
      </c>
      <c r="J217" s="79" t="s">
        <v>867</v>
      </c>
      <c r="K217" s="78" t="s">
        <v>868</v>
      </c>
      <c r="L217" s="78" t="s">
        <v>369</v>
      </c>
      <c r="M217" s="79" t="s">
        <v>220</v>
      </c>
      <c r="N217" s="79"/>
      <c r="O217" s="80" t="s">
        <v>869</v>
      </c>
      <c r="P217" s="81" t="s">
        <v>119</v>
      </c>
    </row>
    <row r="218" spans="1:16" x14ac:dyDescent="0.2">
      <c r="A218" s="32" t="str">
        <f t="shared" si="18"/>
        <v>IBVS 5741 </v>
      </c>
      <c r="B218" s="15" t="str">
        <f t="shared" si="19"/>
        <v>I</v>
      </c>
      <c r="C218" s="32">
        <f t="shared" si="20"/>
        <v>53361.522299999997</v>
      </c>
      <c r="D218" t="str">
        <f t="shared" si="21"/>
        <v>vis</v>
      </c>
      <c r="E218">
        <f>VLOOKUP(C218,Active!C$21:E$969,3,FALSE)</f>
        <v>9043.0097088171569</v>
      </c>
      <c r="F218" s="15" t="s">
        <v>176</v>
      </c>
      <c r="G218" t="str">
        <f t="shared" si="22"/>
        <v>53361.5223</v>
      </c>
      <c r="H218" s="32">
        <f t="shared" si="23"/>
        <v>9043</v>
      </c>
      <c r="I218" s="78" t="s">
        <v>870</v>
      </c>
      <c r="J218" s="79" t="s">
        <v>871</v>
      </c>
      <c r="K218" s="78" t="s">
        <v>872</v>
      </c>
      <c r="L218" s="78" t="s">
        <v>539</v>
      </c>
      <c r="M218" s="79" t="s">
        <v>533</v>
      </c>
      <c r="N218" s="79" t="s">
        <v>650</v>
      </c>
      <c r="O218" s="80" t="s">
        <v>873</v>
      </c>
      <c r="P218" s="81" t="s">
        <v>874</v>
      </c>
    </row>
    <row r="219" spans="1:16" x14ac:dyDescent="0.2">
      <c r="A219" s="32" t="str">
        <f t="shared" si="18"/>
        <v>VSB 44 </v>
      </c>
      <c r="B219" s="15" t="str">
        <f t="shared" si="19"/>
        <v>I</v>
      </c>
      <c r="C219" s="32">
        <f t="shared" si="20"/>
        <v>53412.944000000003</v>
      </c>
      <c r="D219" t="str">
        <f t="shared" si="21"/>
        <v>vis</v>
      </c>
      <c r="E219">
        <f>VLOOKUP(C219,Active!C$21:E$969,3,FALSE)</f>
        <v>9103.009935181597</v>
      </c>
      <c r="F219" s="15" t="s">
        <v>176</v>
      </c>
      <c r="G219" t="str">
        <f t="shared" si="22"/>
        <v>53412.944</v>
      </c>
      <c r="H219" s="32">
        <f t="shared" si="23"/>
        <v>9103</v>
      </c>
      <c r="I219" s="78" t="s">
        <v>875</v>
      </c>
      <c r="J219" s="79" t="s">
        <v>876</v>
      </c>
      <c r="K219" s="78" t="s">
        <v>877</v>
      </c>
      <c r="L219" s="78" t="s">
        <v>439</v>
      </c>
      <c r="M219" s="79" t="s">
        <v>220</v>
      </c>
      <c r="N219" s="79"/>
      <c r="O219" s="80" t="s">
        <v>878</v>
      </c>
      <c r="P219" s="81" t="s">
        <v>125</v>
      </c>
    </row>
    <row r="220" spans="1:16" x14ac:dyDescent="0.2">
      <c r="A220" s="32" t="str">
        <f t="shared" si="18"/>
        <v> AOEB 11 </v>
      </c>
      <c r="B220" s="15" t="str">
        <f t="shared" si="19"/>
        <v>I</v>
      </c>
      <c r="C220" s="32">
        <f t="shared" si="20"/>
        <v>53456.655400000003</v>
      </c>
      <c r="D220" t="str">
        <f t="shared" si="21"/>
        <v>vis</v>
      </c>
      <c r="E220">
        <f>VLOOKUP(C220,Active!C$21:E$969,3,FALSE)</f>
        <v>9154.013575565059</v>
      </c>
      <c r="F220" s="15" t="s">
        <v>176</v>
      </c>
      <c r="G220" t="str">
        <f t="shared" si="22"/>
        <v>53456.6554</v>
      </c>
      <c r="H220" s="32">
        <f t="shared" si="23"/>
        <v>9154</v>
      </c>
      <c r="I220" s="78" t="s">
        <v>879</v>
      </c>
      <c r="J220" s="79" t="s">
        <v>880</v>
      </c>
      <c r="K220" s="78" t="s">
        <v>881</v>
      </c>
      <c r="L220" s="78" t="s">
        <v>749</v>
      </c>
      <c r="M220" s="79" t="s">
        <v>630</v>
      </c>
      <c r="N220" s="79" t="s">
        <v>631</v>
      </c>
      <c r="O220" s="80" t="s">
        <v>718</v>
      </c>
      <c r="P220" s="80" t="s">
        <v>56</v>
      </c>
    </row>
    <row r="221" spans="1:16" x14ac:dyDescent="0.2">
      <c r="A221" s="32" t="str">
        <f t="shared" si="18"/>
        <v>VSB 44 </v>
      </c>
      <c r="B221" s="15" t="str">
        <f t="shared" si="19"/>
        <v>I</v>
      </c>
      <c r="C221" s="32">
        <f t="shared" si="20"/>
        <v>53664.052499999998</v>
      </c>
      <c r="D221" t="str">
        <f t="shared" si="21"/>
        <v>vis</v>
      </c>
      <c r="E221">
        <f>VLOOKUP(C221,Active!C$21:E$969,3,FALSE)</f>
        <v>9396.0101051882812</v>
      </c>
      <c r="F221" s="15" t="s">
        <v>176</v>
      </c>
      <c r="G221" t="str">
        <f t="shared" si="22"/>
        <v>53664.0525</v>
      </c>
      <c r="H221" s="32">
        <f t="shared" si="23"/>
        <v>9396</v>
      </c>
      <c r="I221" s="78" t="s">
        <v>882</v>
      </c>
      <c r="J221" s="79" t="s">
        <v>883</v>
      </c>
      <c r="K221" s="78" t="s">
        <v>884</v>
      </c>
      <c r="L221" s="78" t="s">
        <v>885</v>
      </c>
      <c r="M221" s="79" t="s">
        <v>533</v>
      </c>
      <c r="N221" s="79" t="s">
        <v>650</v>
      </c>
      <c r="O221" s="80" t="s">
        <v>886</v>
      </c>
      <c r="P221" s="81" t="s">
        <v>125</v>
      </c>
    </row>
    <row r="222" spans="1:16" x14ac:dyDescent="0.2">
      <c r="A222" s="32" t="str">
        <f t="shared" si="18"/>
        <v>VSB 44 </v>
      </c>
      <c r="B222" s="15" t="str">
        <f t="shared" si="19"/>
        <v>I</v>
      </c>
      <c r="C222" s="32">
        <f t="shared" si="20"/>
        <v>53693.191800000001</v>
      </c>
      <c r="D222" t="str">
        <f t="shared" si="21"/>
        <v>vis</v>
      </c>
      <c r="E222">
        <f>VLOOKUP(C222,Active!C$21:E$969,3,FALSE)</f>
        <v>9430.0106262932077</v>
      </c>
      <c r="F222" s="15" t="s">
        <v>176</v>
      </c>
      <c r="G222" t="str">
        <f t="shared" si="22"/>
        <v>53693.1918</v>
      </c>
      <c r="H222" s="32">
        <f t="shared" si="23"/>
        <v>9430</v>
      </c>
      <c r="I222" s="78" t="s">
        <v>887</v>
      </c>
      <c r="J222" s="79" t="s">
        <v>888</v>
      </c>
      <c r="K222" s="78" t="s">
        <v>889</v>
      </c>
      <c r="L222" s="78" t="s">
        <v>890</v>
      </c>
      <c r="M222" s="79" t="s">
        <v>533</v>
      </c>
      <c r="N222" s="79" t="s">
        <v>650</v>
      </c>
      <c r="O222" s="80" t="s">
        <v>886</v>
      </c>
      <c r="P222" s="81" t="s">
        <v>125</v>
      </c>
    </row>
    <row r="223" spans="1:16" x14ac:dyDescent="0.2">
      <c r="A223" s="32" t="str">
        <f t="shared" si="18"/>
        <v> AOEB 11 </v>
      </c>
      <c r="B223" s="15" t="str">
        <f t="shared" si="19"/>
        <v>I</v>
      </c>
      <c r="C223" s="32">
        <f t="shared" si="20"/>
        <v>53834.600899999998</v>
      </c>
      <c r="D223" t="str">
        <f t="shared" si="21"/>
        <v>vis</v>
      </c>
      <c r="E223">
        <f>VLOOKUP(C223,Active!C$21:E$969,3,FALSE)</f>
        <v>9595.0105778698853</v>
      </c>
      <c r="F223" s="15" t="s">
        <v>176</v>
      </c>
      <c r="G223" t="str">
        <f t="shared" si="22"/>
        <v>53834.6009</v>
      </c>
      <c r="H223" s="32">
        <f t="shared" si="23"/>
        <v>9595</v>
      </c>
      <c r="I223" s="78" t="s">
        <v>891</v>
      </c>
      <c r="J223" s="79" t="s">
        <v>892</v>
      </c>
      <c r="K223" s="78" t="s">
        <v>893</v>
      </c>
      <c r="L223" s="78" t="s">
        <v>890</v>
      </c>
      <c r="M223" s="79" t="s">
        <v>630</v>
      </c>
      <c r="N223" s="79" t="s">
        <v>631</v>
      </c>
      <c r="O223" s="80" t="s">
        <v>718</v>
      </c>
      <c r="P223" s="80" t="s">
        <v>56</v>
      </c>
    </row>
    <row r="224" spans="1:16" x14ac:dyDescent="0.2">
      <c r="A224" s="32" t="str">
        <f t="shared" si="18"/>
        <v> AOEB 12 </v>
      </c>
      <c r="B224" s="15" t="str">
        <f t="shared" si="19"/>
        <v>I</v>
      </c>
      <c r="C224" s="32">
        <f t="shared" si="20"/>
        <v>54157.697800000002</v>
      </c>
      <c r="D224" t="str">
        <f t="shared" si="21"/>
        <v>vis</v>
      </c>
      <c r="E224">
        <f>VLOOKUP(C224,Active!C$21:E$969,3,FALSE)</f>
        <v>9972.0087544693852</v>
      </c>
      <c r="F224" s="15" t="s">
        <v>176</v>
      </c>
      <c r="G224" t="str">
        <f t="shared" si="22"/>
        <v>54157.6978</v>
      </c>
      <c r="H224" s="32">
        <f t="shared" si="23"/>
        <v>9972</v>
      </c>
      <c r="I224" s="78" t="s">
        <v>894</v>
      </c>
      <c r="J224" s="79" t="s">
        <v>895</v>
      </c>
      <c r="K224" s="78" t="s">
        <v>896</v>
      </c>
      <c r="L224" s="78" t="s">
        <v>897</v>
      </c>
      <c r="M224" s="79" t="s">
        <v>630</v>
      </c>
      <c r="N224" s="79" t="s">
        <v>631</v>
      </c>
      <c r="O224" s="80" t="s">
        <v>708</v>
      </c>
      <c r="P224" s="80" t="s">
        <v>130</v>
      </c>
    </row>
    <row r="225" spans="1:16" x14ac:dyDescent="0.2">
      <c r="A225" s="32" t="str">
        <f t="shared" si="18"/>
        <v>OEJV 0107 </v>
      </c>
      <c r="B225" s="15" t="str">
        <f t="shared" si="19"/>
        <v>I</v>
      </c>
      <c r="C225" s="32">
        <f t="shared" si="20"/>
        <v>54308.540099999998</v>
      </c>
      <c r="D225" t="str">
        <f t="shared" si="21"/>
        <v>vis</v>
      </c>
      <c r="E225">
        <f>VLOOKUP(C225,Active!C$21:E$969,3,FALSE)</f>
        <v>10148.015618212345</v>
      </c>
      <c r="F225" s="15" t="s">
        <v>176</v>
      </c>
      <c r="G225" t="str">
        <f t="shared" si="22"/>
        <v>54308.5401</v>
      </c>
      <c r="H225" s="32">
        <f t="shared" si="23"/>
        <v>10148</v>
      </c>
      <c r="I225" s="78" t="s">
        <v>898</v>
      </c>
      <c r="J225" s="79" t="s">
        <v>899</v>
      </c>
      <c r="K225" s="78" t="s">
        <v>900</v>
      </c>
      <c r="L225" s="78" t="s">
        <v>901</v>
      </c>
      <c r="M225" s="79" t="s">
        <v>630</v>
      </c>
      <c r="N225" s="79" t="s">
        <v>695</v>
      </c>
      <c r="O225" s="80" t="s">
        <v>902</v>
      </c>
      <c r="P225" s="81" t="s">
        <v>131</v>
      </c>
    </row>
    <row r="226" spans="1:16" x14ac:dyDescent="0.2">
      <c r="A226" s="32" t="str">
        <f t="shared" si="18"/>
        <v>BAVM 193 </v>
      </c>
      <c r="B226" s="15" t="str">
        <f t="shared" si="19"/>
        <v>I</v>
      </c>
      <c r="C226" s="32">
        <f t="shared" si="20"/>
        <v>54453.373899999999</v>
      </c>
      <c r="D226" t="str">
        <f t="shared" si="21"/>
        <v>vis</v>
      </c>
      <c r="E226">
        <f>VLOOKUP(C226,Active!C$21:E$969,3,FALSE)</f>
        <v>10317.011602110601</v>
      </c>
      <c r="F226" s="15" t="s">
        <v>176</v>
      </c>
      <c r="G226" t="str">
        <f t="shared" si="22"/>
        <v>54453.3739</v>
      </c>
      <c r="H226" s="32">
        <f t="shared" si="23"/>
        <v>10317</v>
      </c>
      <c r="I226" s="78" t="s">
        <v>903</v>
      </c>
      <c r="J226" s="79" t="s">
        <v>904</v>
      </c>
      <c r="K226" s="78" t="s">
        <v>905</v>
      </c>
      <c r="L226" s="78" t="s">
        <v>906</v>
      </c>
      <c r="M226" s="79" t="s">
        <v>630</v>
      </c>
      <c r="N226" s="79" t="s">
        <v>625</v>
      </c>
      <c r="O226" s="80" t="s">
        <v>907</v>
      </c>
      <c r="P226" s="81" t="s">
        <v>135</v>
      </c>
    </row>
    <row r="227" spans="1:16" x14ac:dyDescent="0.2">
      <c r="A227" s="32" t="str">
        <f t="shared" si="18"/>
        <v>IBVS 5933 </v>
      </c>
      <c r="B227" s="15" t="str">
        <f t="shared" si="19"/>
        <v>I</v>
      </c>
      <c r="C227" s="32">
        <f t="shared" si="20"/>
        <v>54502.222699999998</v>
      </c>
      <c r="D227" t="str">
        <f t="shared" si="21"/>
        <v>vis</v>
      </c>
      <c r="E227" t="e">
        <f>VLOOKUP(C227,Active!C$21:E$969,3,FALSE)</f>
        <v>#N/A</v>
      </c>
      <c r="F227" s="15" t="s">
        <v>176</v>
      </c>
      <c r="G227" t="str">
        <f t="shared" si="22"/>
        <v>54502.2227</v>
      </c>
      <c r="H227" s="32">
        <f t="shared" si="23"/>
        <v>10374</v>
      </c>
      <c r="I227" s="78" t="s">
        <v>908</v>
      </c>
      <c r="J227" s="79" t="s">
        <v>909</v>
      </c>
      <c r="K227" s="78" t="s">
        <v>910</v>
      </c>
      <c r="L227" s="78" t="s">
        <v>539</v>
      </c>
      <c r="M227" s="79" t="s">
        <v>630</v>
      </c>
      <c r="N227" s="79" t="s">
        <v>911</v>
      </c>
      <c r="O227" s="80" t="s">
        <v>724</v>
      </c>
      <c r="P227" s="81" t="s">
        <v>715</v>
      </c>
    </row>
    <row r="228" spans="1:16" x14ac:dyDescent="0.2">
      <c r="A228" s="32" t="str">
        <f t="shared" si="18"/>
        <v>OEJV 0094 </v>
      </c>
      <c r="B228" s="15" t="str">
        <f t="shared" si="19"/>
        <v>II</v>
      </c>
      <c r="C228" s="32">
        <f t="shared" si="20"/>
        <v>54719.48</v>
      </c>
      <c r="D228" t="str">
        <f t="shared" si="21"/>
        <v>vis</v>
      </c>
      <c r="E228">
        <f>VLOOKUP(C228,Active!C$21:E$969,3,FALSE)</f>
        <v>10627.511376271246</v>
      </c>
      <c r="F228" s="15" t="s">
        <v>176</v>
      </c>
      <c r="G228" t="str">
        <f t="shared" si="22"/>
        <v>54719.4800</v>
      </c>
      <c r="H228" s="32">
        <f t="shared" si="23"/>
        <v>10627.5</v>
      </c>
      <c r="I228" s="78" t="s">
        <v>912</v>
      </c>
      <c r="J228" s="79" t="s">
        <v>913</v>
      </c>
      <c r="K228" s="78" t="s">
        <v>914</v>
      </c>
      <c r="L228" s="78" t="s">
        <v>701</v>
      </c>
      <c r="M228" s="79" t="s">
        <v>630</v>
      </c>
      <c r="N228" s="79" t="s">
        <v>695</v>
      </c>
      <c r="O228" s="80" t="s">
        <v>915</v>
      </c>
      <c r="P228" s="81" t="s">
        <v>138</v>
      </c>
    </row>
    <row r="229" spans="1:16" x14ac:dyDescent="0.2">
      <c r="A229" s="32" t="str">
        <f t="shared" si="18"/>
        <v>IBVS 5933 </v>
      </c>
      <c r="B229" s="15" t="str">
        <f t="shared" si="19"/>
        <v>I</v>
      </c>
      <c r="C229" s="32">
        <f t="shared" si="20"/>
        <v>54775.618799999997</v>
      </c>
      <c r="D229" t="str">
        <f t="shared" si="21"/>
        <v>vis</v>
      </c>
      <c r="E229" t="e">
        <f>VLOOKUP(C229,Active!C$21:E$969,3,FALSE)</f>
        <v>#N/A</v>
      </c>
      <c r="F229" s="15" t="s">
        <v>176</v>
      </c>
      <c r="G229" t="str">
        <f t="shared" si="22"/>
        <v>54775.6188</v>
      </c>
      <c r="H229" s="32">
        <f t="shared" si="23"/>
        <v>10693</v>
      </c>
      <c r="I229" s="78" t="s">
        <v>916</v>
      </c>
      <c r="J229" s="79" t="s">
        <v>917</v>
      </c>
      <c r="K229" s="78" t="s">
        <v>918</v>
      </c>
      <c r="L229" s="78" t="s">
        <v>901</v>
      </c>
      <c r="M229" s="79" t="s">
        <v>630</v>
      </c>
      <c r="N229" s="79" t="s">
        <v>911</v>
      </c>
      <c r="O229" s="80" t="s">
        <v>724</v>
      </c>
      <c r="P229" s="81" t="s">
        <v>715</v>
      </c>
    </row>
    <row r="230" spans="1:16" x14ac:dyDescent="0.2">
      <c r="A230" s="32" t="str">
        <f t="shared" si="18"/>
        <v>BAVM 225 </v>
      </c>
      <c r="B230" s="15" t="str">
        <f t="shared" si="19"/>
        <v>I</v>
      </c>
      <c r="C230" s="32">
        <f t="shared" si="20"/>
        <v>55850.321199999998</v>
      </c>
      <c r="D230" t="str">
        <f t="shared" si="21"/>
        <v>vis</v>
      </c>
      <c r="E230">
        <f>VLOOKUP(C230,Active!C$21:E$969,3,FALSE)</f>
        <v>11947.007386364759</v>
      </c>
      <c r="F230" s="15" t="s">
        <v>176</v>
      </c>
      <c r="G230" t="str">
        <f t="shared" si="22"/>
        <v>55850.3212</v>
      </c>
      <c r="H230" s="32">
        <f t="shared" si="23"/>
        <v>11947</v>
      </c>
      <c r="I230" s="78" t="s">
        <v>919</v>
      </c>
      <c r="J230" s="79" t="s">
        <v>920</v>
      </c>
      <c r="K230" s="78">
        <v>11947</v>
      </c>
      <c r="L230" s="78" t="s">
        <v>921</v>
      </c>
      <c r="M230" s="79" t="s">
        <v>630</v>
      </c>
      <c r="N230" s="79" t="s">
        <v>625</v>
      </c>
      <c r="O230" s="80" t="s">
        <v>615</v>
      </c>
      <c r="P230" s="81" t="s">
        <v>147</v>
      </c>
    </row>
    <row r="231" spans="1:16" x14ac:dyDescent="0.2">
      <c r="A231" s="32" t="str">
        <f t="shared" si="18"/>
        <v>VSB 53 </v>
      </c>
      <c r="B231" s="15" t="str">
        <f t="shared" si="19"/>
        <v>I</v>
      </c>
      <c r="C231" s="32">
        <f t="shared" si="20"/>
        <v>55863.174899999998</v>
      </c>
      <c r="D231" t="str">
        <f t="shared" si="21"/>
        <v>vis</v>
      </c>
      <c r="E231">
        <f>VLOOKUP(C231,Active!C$21:E$969,3,FALSE)</f>
        <v>11962.005430179346</v>
      </c>
      <c r="F231" s="15" t="s">
        <v>176</v>
      </c>
      <c r="G231" t="str">
        <f t="shared" si="22"/>
        <v>55863.1749</v>
      </c>
      <c r="H231" s="32">
        <f t="shared" si="23"/>
        <v>11962</v>
      </c>
      <c r="I231" s="78" t="s">
        <v>922</v>
      </c>
      <c r="J231" s="79" t="s">
        <v>923</v>
      </c>
      <c r="K231" s="78">
        <v>11962</v>
      </c>
      <c r="L231" s="78" t="s">
        <v>924</v>
      </c>
      <c r="M231" s="79" t="s">
        <v>630</v>
      </c>
      <c r="N231" s="79" t="s">
        <v>176</v>
      </c>
      <c r="O231" s="80" t="s">
        <v>925</v>
      </c>
      <c r="P231" s="81" t="s">
        <v>150</v>
      </c>
    </row>
    <row r="232" spans="1:16" x14ac:dyDescent="0.2">
      <c r="A232" s="32" t="str">
        <f t="shared" si="18"/>
        <v>VSB 53 </v>
      </c>
      <c r="B232" s="15" t="str">
        <f t="shared" si="19"/>
        <v>I</v>
      </c>
      <c r="C232" s="32">
        <f t="shared" si="20"/>
        <v>55863.178500000002</v>
      </c>
      <c r="D232" t="str">
        <f t="shared" si="21"/>
        <v>vis</v>
      </c>
      <c r="E232">
        <f>VLOOKUP(C232,Active!C$21:E$969,3,FALSE)</f>
        <v>11962.00963075644</v>
      </c>
      <c r="F232" s="15" t="s">
        <v>176</v>
      </c>
      <c r="G232" t="str">
        <f t="shared" si="22"/>
        <v>55863.1785</v>
      </c>
      <c r="H232" s="32">
        <f t="shared" si="23"/>
        <v>11962</v>
      </c>
      <c r="I232" s="78" t="s">
        <v>926</v>
      </c>
      <c r="J232" s="79" t="s">
        <v>927</v>
      </c>
      <c r="K232" s="78">
        <v>11962</v>
      </c>
      <c r="L232" s="78" t="s">
        <v>539</v>
      </c>
      <c r="M232" s="79" t="s">
        <v>630</v>
      </c>
      <c r="N232" s="79" t="s">
        <v>164</v>
      </c>
      <c r="O232" s="80" t="s">
        <v>928</v>
      </c>
      <c r="P232" s="81" t="s">
        <v>150</v>
      </c>
    </row>
    <row r="233" spans="1:16" x14ac:dyDescent="0.2">
      <c r="A233" s="32" t="str">
        <f t="shared" si="18"/>
        <v> JAAVSO 41;122 </v>
      </c>
      <c r="B233" s="15" t="str">
        <f t="shared" si="19"/>
        <v>I</v>
      </c>
      <c r="C233" s="32">
        <f t="shared" si="20"/>
        <v>56182.8482</v>
      </c>
      <c r="D233" t="str">
        <f t="shared" si="21"/>
        <v>vis</v>
      </c>
      <c r="E233">
        <f>VLOOKUP(C233,Active!C$21:E$969,3,FALSE)</f>
        <v>12335.008857966935</v>
      </c>
      <c r="F233" s="15" t="s">
        <v>176</v>
      </c>
      <c r="G233" t="str">
        <f t="shared" si="22"/>
        <v>56182.8482</v>
      </c>
      <c r="H233" s="32">
        <f t="shared" si="23"/>
        <v>12335</v>
      </c>
      <c r="I233" s="78" t="s">
        <v>929</v>
      </c>
      <c r="J233" s="79" t="s">
        <v>930</v>
      </c>
      <c r="K233" s="78">
        <v>12335</v>
      </c>
      <c r="L233" s="78" t="s">
        <v>931</v>
      </c>
      <c r="M233" s="79" t="s">
        <v>630</v>
      </c>
      <c r="N233" s="79" t="s">
        <v>176</v>
      </c>
      <c r="O233" s="80" t="s">
        <v>763</v>
      </c>
      <c r="P233" s="80" t="s">
        <v>152</v>
      </c>
    </row>
    <row r="234" spans="1:16" x14ac:dyDescent="0.2">
      <c r="A234" s="32" t="str">
        <f t="shared" si="18"/>
        <v> JAAVSO 43-1 </v>
      </c>
      <c r="B234" s="15" t="str">
        <f t="shared" si="19"/>
        <v>I</v>
      </c>
      <c r="C234" s="32">
        <f t="shared" si="20"/>
        <v>56956.7402</v>
      </c>
      <c r="D234" t="str">
        <f t="shared" si="21"/>
        <v>vis</v>
      </c>
      <c r="E234">
        <f>VLOOKUP(C234,Active!C$21:E$969,3,FALSE)</f>
        <v>13238.006914849984</v>
      </c>
      <c r="F234" s="15" t="s">
        <v>176</v>
      </c>
      <c r="G234" t="str">
        <f t="shared" si="22"/>
        <v>56956.7402</v>
      </c>
      <c r="H234" s="32">
        <f t="shared" si="23"/>
        <v>13238</v>
      </c>
      <c r="I234" s="78" t="s">
        <v>932</v>
      </c>
      <c r="J234" s="79" t="s">
        <v>933</v>
      </c>
      <c r="K234" s="78">
        <v>13238</v>
      </c>
      <c r="L234" s="78" t="s">
        <v>934</v>
      </c>
      <c r="M234" s="79" t="s">
        <v>630</v>
      </c>
      <c r="N234" s="79" t="s">
        <v>176</v>
      </c>
      <c r="O234" s="80" t="s">
        <v>935</v>
      </c>
      <c r="P234" s="80" t="s">
        <v>156</v>
      </c>
    </row>
    <row r="235" spans="1:16" x14ac:dyDescent="0.2">
      <c r="A235" s="32" t="str">
        <f t="shared" si="18"/>
        <v> JAAVSO 43-1 </v>
      </c>
      <c r="B235" s="15" t="str">
        <f t="shared" si="19"/>
        <v>I</v>
      </c>
      <c r="C235" s="32">
        <f t="shared" si="20"/>
        <v>56998.733899999999</v>
      </c>
      <c r="D235" t="str">
        <f t="shared" si="21"/>
        <v>vis</v>
      </c>
      <c r="E235">
        <f>VLOOKUP(C235,Active!C$21:E$969,3,FALSE)</f>
        <v>13287.006296548372</v>
      </c>
      <c r="F235" s="15" t="s">
        <v>176</v>
      </c>
      <c r="G235" t="str">
        <f t="shared" si="22"/>
        <v>56998.7339</v>
      </c>
      <c r="H235" s="32">
        <f t="shared" si="23"/>
        <v>13287</v>
      </c>
      <c r="I235" s="78" t="s">
        <v>936</v>
      </c>
      <c r="J235" s="79" t="s">
        <v>937</v>
      </c>
      <c r="K235" s="78">
        <v>13287</v>
      </c>
      <c r="L235" s="78" t="s">
        <v>596</v>
      </c>
      <c r="M235" s="79" t="s">
        <v>630</v>
      </c>
      <c r="N235" s="79" t="s">
        <v>176</v>
      </c>
      <c r="O235" s="80" t="s">
        <v>763</v>
      </c>
      <c r="P235" s="80" t="s">
        <v>156</v>
      </c>
    </row>
  </sheetData>
  <sheetProtection selectLockedCells="1" selectUnlockedCells="1"/>
  <hyperlinks>
    <hyperlink ref="P103" r:id="rId1" xr:uid="{00000000-0004-0000-0100-000000000000}"/>
    <hyperlink ref="P114" r:id="rId2" xr:uid="{00000000-0004-0000-0100-000001000000}"/>
    <hyperlink ref="P115" r:id="rId3" xr:uid="{00000000-0004-0000-0100-000002000000}"/>
    <hyperlink ref="P125" r:id="rId4" xr:uid="{00000000-0004-0000-0100-000003000000}"/>
    <hyperlink ref="P126" r:id="rId5" xr:uid="{00000000-0004-0000-0100-000004000000}"/>
    <hyperlink ref="P127" r:id="rId6" xr:uid="{00000000-0004-0000-0100-000005000000}"/>
    <hyperlink ref="P151" r:id="rId7" xr:uid="{00000000-0004-0000-0100-000006000000}"/>
    <hyperlink ref="P154" r:id="rId8" xr:uid="{00000000-0004-0000-0100-000007000000}"/>
    <hyperlink ref="P156" r:id="rId9" xr:uid="{00000000-0004-0000-0100-000008000000}"/>
    <hyperlink ref="P157" r:id="rId10" xr:uid="{00000000-0004-0000-0100-000009000000}"/>
    <hyperlink ref="P158" r:id="rId11" xr:uid="{00000000-0004-0000-0100-00000A000000}"/>
    <hyperlink ref="P159" r:id="rId12" xr:uid="{00000000-0004-0000-0100-00000B000000}"/>
    <hyperlink ref="P160" r:id="rId13" xr:uid="{00000000-0004-0000-0100-00000C000000}"/>
    <hyperlink ref="P161" r:id="rId14" xr:uid="{00000000-0004-0000-0100-00000D000000}"/>
    <hyperlink ref="P162" r:id="rId15" xr:uid="{00000000-0004-0000-0100-00000E000000}"/>
    <hyperlink ref="P163" r:id="rId16" xr:uid="{00000000-0004-0000-0100-00000F000000}"/>
    <hyperlink ref="P164" r:id="rId17" xr:uid="{00000000-0004-0000-0100-000010000000}"/>
    <hyperlink ref="P165" r:id="rId18" xr:uid="{00000000-0004-0000-0100-000011000000}"/>
    <hyperlink ref="P166" r:id="rId19" xr:uid="{00000000-0004-0000-0100-000012000000}"/>
    <hyperlink ref="P167" r:id="rId20" xr:uid="{00000000-0004-0000-0100-000013000000}"/>
    <hyperlink ref="P168" r:id="rId21" xr:uid="{00000000-0004-0000-0100-000014000000}"/>
    <hyperlink ref="P169" r:id="rId22" xr:uid="{00000000-0004-0000-0100-000015000000}"/>
    <hyperlink ref="P170" r:id="rId23" xr:uid="{00000000-0004-0000-0100-000016000000}"/>
    <hyperlink ref="P171" r:id="rId24" xr:uid="{00000000-0004-0000-0100-000017000000}"/>
    <hyperlink ref="P172" r:id="rId25" xr:uid="{00000000-0004-0000-0100-000018000000}"/>
    <hyperlink ref="P173" r:id="rId26" xr:uid="{00000000-0004-0000-0100-000019000000}"/>
    <hyperlink ref="P174" r:id="rId27" xr:uid="{00000000-0004-0000-0100-00001A000000}"/>
    <hyperlink ref="P175" r:id="rId28" xr:uid="{00000000-0004-0000-0100-00001B000000}"/>
    <hyperlink ref="P176" r:id="rId29" xr:uid="{00000000-0004-0000-0100-00001C000000}"/>
    <hyperlink ref="P177" r:id="rId30" xr:uid="{00000000-0004-0000-0100-00001D000000}"/>
    <hyperlink ref="P178" r:id="rId31" xr:uid="{00000000-0004-0000-0100-00001E000000}"/>
    <hyperlink ref="P179" r:id="rId32" xr:uid="{00000000-0004-0000-0100-00001F000000}"/>
    <hyperlink ref="P180" r:id="rId33" xr:uid="{00000000-0004-0000-0100-000020000000}"/>
    <hyperlink ref="P181" r:id="rId34" xr:uid="{00000000-0004-0000-0100-000021000000}"/>
    <hyperlink ref="P182" r:id="rId35" xr:uid="{00000000-0004-0000-0100-000022000000}"/>
    <hyperlink ref="P187" r:id="rId36" xr:uid="{00000000-0004-0000-0100-000023000000}"/>
    <hyperlink ref="P192" r:id="rId37" xr:uid="{00000000-0004-0000-0100-000024000000}"/>
    <hyperlink ref="P193" r:id="rId38" xr:uid="{00000000-0004-0000-0100-000025000000}"/>
    <hyperlink ref="P194" r:id="rId39" xr:uid="{00000000-0004-0000-0100-000026000000}"/>
    <hyperlink ref="P197" r:id="rId40" xr:uid="{00000000-0004-0000-0100-000027000000}"/>
    <hyperlink ref="P209" r:id="rId41" xr:uid="{00000000-0004-0000-0100-000028000000}"/>
    <hyperlink ref="P211" r:id="rId42" xr:uid="{00000000-0004-0000-0100-000029000000}"/>
    <hyperlink ref="P214" r:id="rId43" xr:uid="{00000000-0004-0000-0100-00002A000000}"/>
    <hyperlink ref="P215" r:id="rId44" xr:uid="{00000000-0004-0000-0100-00002B000000}"/>
    <hyperlink ref="P217" r:id="rId45" xr:uid="{00000000-0004-0000-0100-00002C000000}"/>
    <hyperlink ref="P218" r:id="rId46" xr:uid="{00000000-0004-0000-0100-00002D000000}"/>
    <hyperlink ref="P219" r:id="rId47" xr:uid="{00000000-0004-0000-0100-00002E000000}"/>
    <hyperlink ref="P221" r:id="rId48" xr:uid="{00000000-0004-0000-0100-00002F000000}"/>
    <hyperlink ref="P222" r:id="rId49" xr:uid="{00000000-0004-0000-0100-000030000000}"/>
    <hyperlink ref="P225" r:id="rId50" xr:uid="{00000000-0004-0000-0100-000031000000}"/>
    <hyperlink ref="P226" r:id="rId51" xr:uid="{00000000-0004-0000-0100-000032000000}"/>
    <hyperlink ref="P227" r:id="rId52" xr:uid="{00000000-0004-0000-0100-000033000000}"/>
    <hyperlink ref="P228" r:id="rId53" xr:uid="{00000000-0004-0000-0100-000034000000}"/>
    <hyperlink ref="P229" r:id="rId54" xr:uid="{00000000-0004-0000-0100-000035000000}"/>
    <hyperlink ref="P230" r:id="rId55" xr:uid="{00000000-0004-0000-0100-000036000000}"/>
    <hyperlink ref="P231" r:id="rId56" xr:uid="{00000000-0004-0000-0100-000037000000}"/>
    <hyperlink ref="P232" r:id="rId57" xr:uid="{00000000-0004-0000-0100-00003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6"/>
  <sheetViews>
    <sheetView workbookViewId="0"/>
  </sheetViews>
  <sheetFormatPr defaultRowHeight="12.75" x14ac:dyDescent="0.2"/>
  <sheetData>
    <row r="1" spans="1:19" ht="18" x14ac:dyDescent="0.2">
      <c r="A1" s="82" t="s">
        <v>938</v>
      </c>
      <c r="D1" s="83" t="s">
        <v>939</v>
      </c>
      <c r="K1" s="84" t="s">
        <v>940</v>
      </c>
      <c r="L1" t="s">
        <v>941</v>
      </c>
      <c r="M1">
        <f ca="1">F18*H18-G18*G18</f>
        <v>122.04546483788641</v>
      </c>
      <c r="R1">
        <v>1</v>
      </c>
      <c r="S1" t="s">
        <v>942</v>
      </c>
    </row>
    <row r="2" spans="1:19" x14ac:dyDescent="0.2">
      <c r="K2" s="84" t="s">
        <v>943</v>
      </c>
      <c r="L2" t="s">
        <v>944</v>
      </c>
      <c r="M2">
        <f ca="1">+D18*H18-F18*G18</f>
        <v>114.47582502595054</v>
      </c>
      <c r="R2">
        <v>2</v>
      </c>
      <c r="S2" t="s">
        <v>534</v>
      </c>
    </row>
    <row r="3" spans="1:19" x14ac:dyDescent="0.2">
      <c r="A3" t="s">
        <v>945</v>
      </c>
      <c r="B3" t="s">
        <v>946</v>
      </c>
      <c r="E3" s="28" t="s">
        <v>947</v>
      </c>
      <c r="F3" s="28" t="s">
        <v>948</v>
      </c>
      <c r="G3" s="28" t="s">
        <v>949</v>
      </c>
      <c r="H3" s="28" t="s">
        <v>950</v>
      </c>
      <c r="K3" s="84" t="s">
        <v>951</v>
      </c>
      <c r="L3" t="s">
        <v>952</v>
      </c>
      <c r="M3">
        <f ca="1">+D18*G18-F18*F18</f>
        <v>-74.753684195887558</v>
      </c>
      <c r="R3">
        <v>3</v>
      </c>
      <c r="S3" t="s">
        <v>171</v>
      </c>
    </row>
    <row r="4" spans="1:19" x14ac:dyDescent="0.2">
      <c r="A4" t="s">
        <v>953</v>
      </c>
      <c r="B4" t="s">
        <v>954</v>
      </c>
      <c r="D4" s="85" t="s">
        <v>955</v>
      </c>
      <c r="E4" s="86">
        <f ca="1">(E18*M1-I18*M2+J18*M3)/M7</f>
        <v>-7.6600704884122542E-4</v>
      </c>
      <c r="F4" s="87">
        <f ca="1">+E7/M7*M18</f>
        <v>9.6400562842006304E-4</v>
      </c>
      <c r="G4" s="88">
        <f>+B18</f>
        <v>1</v>
      </c>
      <c r="H4" s="89">
        <f ca="1">ABS(F4/E4)</f>
        <v>1.2584814067682004</v>
      </c>
      <c r="K4" s="84" t="s">
        <v>956</v>
      </c>
      <c r="L4" t="s">
        <v>957</v>
      </c>
      <c r="M4">
        <f ca="1">+D17*H18-F18*F18</f>
        <v>1852.6378101727007</v>
      </c>
      <c r="R4">
        <v>4</v>
      </c>
      <c r="S4" t="s">
        <v>958</v>
      </c>
    </row>
    <row r="5" spans="1:19" x14ac:dyDescent="0.2">
      <c r="A5" t="s">
        <v>959</v>
      </c>
      <c r="B5" s="90">
        <v>40323</v>
      </c>
      <c r="D5" s="91" t="s">
        <v>960</v>
      </c>
      <c r="E5" s="92">
        <f ca="1">+(-E18*M2+I18*M4-J18*M5)/M7</f>
        <v>4.6543695653242394E-2</v>
      </c>
      <c r="F5" s="93">
        <f ca="1">N18*E7/M7</f>
        <v>3.7558998920893772E-3</v>
      </c>
      <c r="G5" s="94">
        <f>+B18/A18</f>
        <v>1E-4</v>
      </c>
      <c r="H5" s="89">
        <f ca="1">ABS(F5/E5)</f>
        <v>8.0696211149011501E-2</v>
      </c>
      <c r="K5" s="84" t="s">
        <v>961</v>
      </c>
      <c r="L5" t="s">
        <v>962</v>
      </c>
      <c r="M5">
        <f ca="1">+D17*G18-D18*F18</f>
        <v>1843.0971716042052</v>
      </c>
      <c r="R5">
        <v>5</v>
      </c>
      <c r="S5" t="s">
        <v>172</v>
      </c>
    </row>
    <row r="6" spans="1:19" x14ac:dyDescent="0.2">
      <c r="D6" s="95" t="s">
        <v>963</v>
      </c>
      <c r="E6" s="96">
        <f ca="1">+(E18*M3-I18*M5+J18*M6)/M7</f>
        <v>-3.8392038983621521E-2</v>
      </c>
      <c r="F6" s="97">
        <f ca="1">O18*E7/M7</f>
        <v>4.7066805257800883E-3</v>
      </c>
      <c r="G6" s="98">
        <f>+B18/A18^2</f>
        <v>1E-8</v>
      </c>
      <c r="H6" s="89">
        <f ca="1">ABS(F6/E6)</f>
        <v>0.12259522157153496</v>
      </c>
      <c r="K6" s="99" t="s">
        <v>964</v>
      </c>
      <c r="L6" s="100" t="s">
        <v>965</v>
      </c>
      <c r="M6" s="100">
        <f ca="1">+D17*F18-D18*D18</f>
        <v>2909.3230533875003</v>
      </c>
      <c r="R6">
        <v>6</v>
      </c>
      <c r="S6" t="s">
        <v>174</v>
      </c>
    </row>
    <row r="7" spans="1:19" x14ac:dyDescent="0.2">
      <c r="D7" s="83" t="s">
        <v>966</v>
      </c>
      <c r="E7" s="101">
        <f ca="1">SQRT(L18/(D17-3))</f>
        <v>9.8628131038013805E-3</v>
      </c>
      <c r="G7" s="102">
        <f>+B22</f>
        <v>-6.2243200001830701E-2</v>
      </c>
      <c r="K7" s="84" t="s">
        <v>967</v>
      </c>
      <c r="L7" t="s">
        <v>968</v>
      </c>
      <c r="M7">
        <f ca="1">+D17*M1-D18*M2+F18*M3</f>
        <v>12775.094273957387</v>
      </c>
      <c r="R7">
        <v>7</v>
      </c>
      <c r="S7" t="s">
        <v>544</v>
      </c>
    </row>
    <row r="8" spans="1:19" x14ac:dyDescent="0.2">
      <c r="D8" s="83" t="s">
        <v>969</v>
      </c>
      <c r="F8" s="103">
        <f ca="1">CORREL(INDIRECT(E12):INDIRECT(E13),INDIRECT(K12):INDIRECT(K13))</f>
        <v>0.71628303311420138</v>
      </c>
      <c r="G8" s="101"/>
      <c r="I8" s="102"/>
      <c r="R8">
        <v>8</v>
      </c>
      <c r="S8" t="s">
        <v>970</v>
      </c>
    </row>
    <row r="9" spans="1:19" x14ac:dyDescent="0.2">
      <c r="E9" s="104">
        <f ca="1">E6*G6</f>
        <v>-3.8392038983621522E-10</v>
      </c>
      <c r="F9" s="105">
        <f ca="1">H6</f>
        <v>0.12259522157153496</v>
      </c>
      <c r="G9" s="106">
        <f ca="1">F8</f>
        <v>0.71628303311420138</v>
      </c>
      <c r="I9" s="102"/>
      <c r="R9">
        <v>9</v>
      </c>
      <c r="S9" t="s">
        <v>57</v>
      </c>
    </row>
    <row r="10" spans="1:19" x14ac:dyDescent="0.2">
      <c r="R10">
        <v>10</v>
      </c>
      <c r="S10" t="s">
        <v>971</v>
      </c>
    </row>
    <row r="11" spans="1:19" x14ac:dyDescent="0.2">
      <c r="R11">
        <v>11</v>
      </c>
      <c r="S11" t="s">
        <v>972</v>
      </c>
    </row>
    <row r="12" spans="1:19" x14ac:dyDescent="0.2">
      <c r="A12" s="21">
        <v>21</v>
      </c>
      <c r="B12" t="s">
        <v>973</v>
      </c>
      <c r="C12" s="107">
        <v>21</v>
      </c>
      <c r="D12" s="15" t="str">
        <f>D$15&amp;$C12</f>
        <v>D21</v>
      </c>
      <c r="E12" s="15" t="str">
        <f t="shared" ref="E12:O12" si="0">E15&amp;$C12</f>
        <v>E21</v>
      </c>
      <c r="F12" s="15" t="str">
        <f t="shared" si="0"/>
        <v>F21</v>
      </c>
      <c r="G12" s="15" t="str">
        <f t="shared" si="0"/>
        <v>G21</v>
      </c>
      <c r="H12" s="15" t="str">
        <f t="shared" si="0"/>
        <v>H21</v>
      </c>
      <c r="I12" s="15" t="str">
        <f t="shared" si="0"/>
        <v>I21</v>
      </c>
      <c r="J12" s="15" t="str">
        <f t="shared" si="0"/>
        <v>J21</v>
      </c>
      <c r="K12" s="15" t="str">
        <f t="shared" si="0"/>
        <v>K21</v>
      </c>
      <c r="L12" s="15" t="str">
        <f t="shared" si="0"/>
        <v>L21</v>
      </c>
      <c r="M12" s="15" t="str">
        <f t="shared" si="0"/>
        <v>M21</v>
      </c>
      <c r="N12" s="15" t="str">
        <f t="shared" si="0"/>
        <v>N21</v>
      </c>
      <c r="O12" s="15" t="str">
        <f t="shared" si="0"/>
        <v>O21</v>
      </c>
      <c r="R12">
        <v>12</v>
      </c>
      <c r="S12" t="s">
        <v>974</v>
      </c>
    </row>
    <row r="13" spans="1:19" x14ac:dyDescent="0.2">
      <c r="A13" s="21">
        <f>20+COUNT(A21:A1449)</f>
        <v>176</v>
      </c>
      <c r="B13" t="s">
        <v>975</v>
      </c>
      <c r="C13" s="107">
        <v>176</v>
      </c>
      <c r="D13" s="15" t="str">
        <f>D$15&amp;$C13</f>
        <v>D176</v>
      </c>
      <c r="E13" s="15" t="str">
        <f t="shared" ref="E13:O13" si="1">E$15&amp;$C13</f>
        <v>E176</v>
      </c>
      <c r="F13" s="15" t="str">
        <f t="shared" si="1"/>
        <v>F176</v>
      </c>
      <c r="G13" s="15" t="str">
        <f t="shared" si="1"/>
        <v>G176</v>
      </c>
      <c r="H13" s="15" t="str">
        <f t="shared" si="1"/>
        <v>H176</v>
      </c>
      <c r="I13" s="15" t="str">
        <f t="shared" si="1"/>
        <v>I176</v>
      </c>
      <c r="J13" s="15" t="str">
        <f t="shared" si="1"/>
        <v>J176</v>
      </c>
      <c r="K13" s="15" t="str">
        <f t="shared" si="1"/>
        <v>K176</v>
      </c>
      <c r="L13" s="15" t="str">
        <f t="shared" si="1"/>
        <v>L176</v>
      </c>
      <c r="M13" s="15" t="str">
        <f t="shared" si="1"/>
        <v>M176</v>
      </c>
      <c r="N13" s="15" t="str">
        <f t="shared" si="1"/>
        <v>N176</v>
      </c>
      <c r="O13" s="15" t="str">
        <f t="shared" si="1"/>
        <v>O176</v>
      </c>
      <c r="R13">
        <v>13</v>
      </c>
      <c r="S13" t="s">
        <v>976</v>
      </c>
    </row>
    <row r="14" spans="1:19" x14ac:dyDescent="0.2">
      <c r="R14">
        <v>14</v>
      </c>
      <c r="S14" t="s">
        <v>977</v>
      </c>
    </row>
    <row r="15" spans="1:19" x14ac:dyDescent="0.2">
      <c r="A15" s="15"/>
      <c r="D15" s="15" t="str">
        <f t="shared" ref="D15:O15" si="2">VLOOKUP(D16,$R1:$S26,2,FALSE)</f>
        <v>D</v>
      </c>
      <c r="E15" s="15" t="str">
        <f t="shared" si="2"/>
        <v>E</v>
      </c>
      <c r="F15" s="15" t="str">
        <f t="shared" si="2"/>
        <v>F</v>
      </c>
      <c r="G15" s="15" t="str">
        <f t="shared" si="2"/>
        <v>G</v>
      </c>
      <c r="H15" s="15" t="str">
        <f t="shared" si="2"/>
        <v>H</v>
      </c>
      <c r="I15" s="15" t="str">
        <f t="shared" si="2"/>
        <v>I</v>
      </c>
      <c r="J15" s="15" t="str">
        <f t="shared" si="2"/>
        <v>J</v>
      </c>
      <c r="K15" s="15" t="str">
        <f t="shared" si="2"/>
        <v>K</v>
      </c>
      <c r="L15" s="15" t="str">
        <f t="shared" si="2"/>
        <v>L</v>
      </c>
      <c r="M15" s="15" t="str">
        <f t="shared" si="2"/>
        <v>M</v>
      </c>
      <c r="N15" s="15" t="str">
        <f t="shared" si="2"/>
        <v>N</v>
      </c>
      <c r="O15" s="15" t="str">
        <f t="shared" si="2"/>
        <v>O</v>
      </c>
      <c r="R15">
        <v>15</v>
      </c>
      <c r="S15" t="s">
        <v>978</v>
      </c>
    </row>
    <row r="16" spans="1:19" x14ac:dyDescent="0.2">
      <c r="A16" s="15"/>
      <c r="D16" s="15">
        <f>COLUMN()</f>
        <v>4</v>
      </c>
      <c r="E16" s="15">
        <f>COLUMN()</f>
        <v>5</v>
      </c>
      <c r="F16" s="15">
        <f>COLUMN()</f>
        <v>6</v>
      </c>
      <c r="G16" s="15">
        <f>COLUMN()</f>
        <v>7</v>
      </c>
      <c r="H16" s="15">
        <f>COLUMN()</f>
        <v>8</v>
      </c>
      <c r="I16" s="15">
        <f>COLUMN()</f>
        <v>9</v>
      </c>
      <c r="J16" s="15">
        <f>COLUMN()</f>
        <v>10</v>
      </c>
      <c r="K16" s="15">
        <f>COLUMN()</f>
        <v>11</v>
      </c>
      <c r="L16" s="15">
        <f>COLUMN()</f>
        <v>12</v>
      </c>
      <c r="M16" s="15">
        <f>COLUMN()</f>
        <v>13</v>
      </c>
      <c r="N16" s="15">
        <f>COLUMN()</f>
        <v>14</v>
      </c>
      <c r="O16" s="15">
        <f>COLUMN()</f>
        <v>15</v>
      </c>
      <c r="R16">
        <v>16</v>
      </c>
      <c r="S16" t="s">
        <v>175</v>
      </c>
    </row>
    <row r="17" spans="1:19" x14ac:dyDescent="0.2">
      <c r="A17" s="83" t="s">
        <v>979</v>
      </c>
      <c r="C17" t="s">
        <v>980</v>
      </c>
      <c r="D17">
        <f>C13-C12+1</f>
        <v>156</v>
      </c>
      <c r="R17">
        <v>17</v>
      </c>
      <c r="S17" t="s">
        <v>981</v>
      </c>
    </row>
    <row r="18" spans="1:19" x14ac:dyDescent="0.2">
      <c r="A18" s="108">
        <v>10000</v>
      </c>
      <c r="B18" s="108">
        <v>1</v>
      </c>
      <c r="C18" t="s">
        <v>982</v>
      </c>
      <c r="D18">
        <f ca="1">SUM(INDIRECT(D12):INDIRECT(D13))</f>
        <v>36.854950000000002</v>
      </c>
      <c r="E18">
        <f ca="1">SUM(INDIRECT(E12):INDIRECT(E13))</f>
        <v>0.54559754976071417</v>
      </c>
      <c r="F18">
        <f ca="1">SUM(INDIRECT(F12):INDIRECT(F13))</f>
        <v>27.356476877500004</v>
      </c>
      <c r="G18">
        <f ca="1">SUM(INDIRECT(G12):INDIRECT(G13))</f>
        <v>18.277684353209128</v>
      </c>
      <c r="H18">
        <f ca="1">SUM(INDIRECT(H12):INDIRECT(H13))</f>
        <v>16.673170752063417</v>
      </c>
      <c r="I18">
        <f ca="1">SUM(INDIRECT(I12):INDIRECT(I13))</f>
        <v>0.54332281222789824</v>
      </c>
      <c r="J18">
        <f ca="1">SUM(INDIRECT(J12):INDIRECT(J13))</f>
        <v>0.1896387021683725</v>
      </c>
      <c r="L18">
        <f ca="1">SUM(INDIRECT(L12):INDIRECT(L13))</f>
        <v>1.4883087595038981E-2</v>
      </c>
      <c r="M18">
        <f ca="1">SQRT(SUM(INDIRECT(M12):INDIRECT(M13)))</f>
        <v>1248.6562052914926</v>
      </c>
      <c r="N18">
        <f ca="1">SQRT(SUM(INDIRECT(N12):INDIRECT(N13)))</f>
        <v>4864.9380962612677</v>
      </c>
      <c r="O18">
        <f ca="1">SQRT(SUM(INDIRECT(O12):INDIRECT(O13)))</f>
        <v>6096.4642441683263</v>
      </c>
      <c r="R18">
        <v>18</v>
      </c>
      <c r="S18" t="s">
        <v>695</v>
      </c>
    </row>
    <row r="19" spans="1:19" x14ac:dyDescent="0.2">
      <c r="A19" s="109" t="s">
        <v>983</v>
      </c>
      <c r="D19" s="34" t="s">
        <v>984</v>
      </c>
      <c r="E19" s="34" t="s">
        <v>985</v>
      </c>
      <c r="F19" s="34" t="s">
        <v>986</v>
      </c>
      <c r="G19" s="34" t="s">
        <v>987</v>
      </c>
      <c r="H19" s="34" t="s">
        <v>988</v>
      </c>
      <c r="I19" s="34" t="s">
        <v>989</v>
      </c>
      <c r="J19" s="34" t="s">
        <v>990</v>
      </c>
      <c r="R19">
        <v>19</v>
      </c>
      <c r="S19" t="s">
        <v>991</v>
      </c>
    </row>
    <row r="20" spans="1:19" ht="14.25" x14ac:dyDescent="0.2">
      <c r="A20" s="27" t="s">
        <v>992</v>
      </c>
      <c r="B20" s="27" t="s">
        <v>993</v>
      </c>
      <c r="D20" s="27" t="s">
        <v>992</v>
      </c>
      <c r="E20" s="27" t="s">
        <v>993</v>
      </c>
      <c r="F20" s="27" t="s">
        <v>994</v>
      </c>
      <c r="G20" s="27" t="s">
        <v>995</v>
      </c>
      <c r="H20" s="27" t="s">
        <v>996</v>
      </c>
      <c r="I20" s="27" t="s">
        <v>997</v>
      </c>
      <c r="J20" s="27" t="s">
        <v>998</v>
      </c>
      <c r="K20" s="110" t="s">
        <v>999</v>
      </c>
      <c r="L20" s="27" t="s">
        <v>1000</v>
      </c>
      <c r="M20" s="27" t="s">
        <v>1001</v>
      </c>
      <c r="N20" s="27" t="s">
        <v>1002</v>
      </c>
      <c r="O20" s="27" t="s">
        <v>1003</v>
      </c>
      <c r="P20" s="28" t="s">
        <v>1004</v>
      </c>
      <c r="R20">
        <v>20</v>
      </c>
      <c r="S20" t="s">
        <v>1005</v>
      </c>
    </row>
    <row r="21" spans="1:19" x14ac:dyDescent="0.2">
      <c r="A21" s="111">
        <v>-5568</v>
      </c>
      <c r="B21" s="111">
        <v>-6.2243200001830701E-2</v>
      </c>
      <c r="D21" s="112">
        <f t="shared" ref="D21:D52" si="3">A21/A$18</f>
        <v>-0.55679999999999996</v>
      </c>
      <c r="E21" s="112">
        <f t="shared" ref="E21:E52" si="4">B21/B$18</f>
        <v>-6.2243200001830701E-2</v>
      </c>
      <c r="F21" s="21">
        <f>D21*D21</f>
        <v>0.31002623999999995</v>
      </c>
      <c r="G21" s="21">
        <f>D21*F21</f>
        <v>-0.17262261043199997</v>
      </c>
      <c r="H21" s="21">
        <f>F21*F21</f>
        <v>9.6116269488537576E-2</v>
      </c>
      <c r="I21" s="21">
        <f>E21*D21</f>
        <v>3.4657013761019331E-2</v>
      </c>
      <c r="J21" s="21">
        <f>I21*D21</f>
        <v>-1.9297025262135562E-2</v>
      </c>
      <c r="K21" s="21">
        <f t="shared" ref="K21:K52" ca="1" si="5">+E$4+E$5*D21+E$6*D21^2</f>
        <v>-3.858407628059219E-2</v>
      </c>
      <c r="L21" s="21">
        <f ca="1">+(K21-E21)^2</f>
        <v>5.5975413525687079E-4</v>
      </c>
      <c r="M21" s="21">
        <f t="shared" ref="M21:M52" ca="1" si="6">(M$1-M$2*D21+M$3*F21)^2</f>
        <v>26442.012286981088</v>
      </c>
      <c r="N21" s="21">
        <f t="shared" ref="N21:N52" ca="1" si="7">(-M$2+M$4*D21-M$5*F21)^2</f>
        <v>2949576.2599265035</v>
      </c>
      <c r="O21" s="21">
        <f t="shared" ref="O21:O52" ca="1" si="8">+(M$3-D21*M$5+F21*M$6)^2</f>
        <v>3435274.3378460519</v>
      </c>
      <c r="P21">
        <f ca="1">+E21-K21</f>
        <v>-2.3659123721238511E-2</v>
      </c>
      <c r="R21">
        <v>21</v>
      </c>
      <c r="S21" t="s">
        <v>540</v>
      </c>
    </row>
    <row r="22" spans="1:19" x14ac:dyDescent="0.2">
      <c r="A22" s="111">
        <v>-5568</v>
      </c>
      <c r="B22" s="111">
        <v>-6.2243200001830701E-2</v>
      </c>
      <c r="D22" s="112">
        <f t="shared" si="3"/>
        <v>-0.55679999999999996</v>
      </c>
      <c r="E22" s="112">
        <f t="shared" si="4"/>
        <v>-6.2243200001830701E-2</v>
      </c>
      <c r="F22" s="21">
        <f t="shared" ref="F22:F85" si="9">D22*D22</f>
        <v>0.31002623999999995</v>
      </c>
      <c r="G22" s="21">
        <f t="shared" ref="G22:G85" si="10">D22*F22</f>
        <v>-0.17262261043199997</v>
      </c>
      <c r="H22" s="21">
        <f t="shared" ref="H22:H85" si="11">F22*F22</f>
        <v>9.6116269488537576E-2</v>
      </c>
      <c r="I22" s="21">
        <f t="shared" ref="I22:I85" si="12">E22*D22</f>
        <v>3.4657013761019331E-2</v>
      </c>
      <c r="J22" s="21">
        <f t="shared" ref="J22:J85" si="13">I22*D22</f>
        <v>-1.9297025262135562E-2</v>
      </c>
      <c r="K22" s="21">
        <f t="shared" ca="1" si="5"/>
        <v>-3.858407628059219E-2</v>
      </c>
      <c r="L22" s="21">
        <f t="shared" ref="L22:L85" ca="1" si="14">+(K22-E22)^2</f>
        <v>5.5975413525687079E-4</v>
      </c>
      <c r="M22" s="21">
        <f t="shared" ca="1" si="6"/>
        <v>26442.012286981088</v>
      </c>
      <c r="N22" s="21">
        <f t="shared" ca="1" si="7"/>
        <v>2949576.2599265035</v>
      </c>
      <c r="O22" s="21">
        <f t="shared" ca="1" si="8"/>
        <v>3435274.3378460519</v>
      </c>
      <c r="P22">
        <f t="shared" ref="P22:P85" ca="1" si="15">+E22-K22</f>
        <v>-2.3659123721238511E-2</v>
      </c>
      <c r="R22">
        <v>22</v>
      </c>
      <c r="S22" t="s">
        <v>176</v>
      </c>
    </row>
    <row r="23" spans="1:19" x14ac:dyDescent="0.2">
      <c r="A23" s="111">
        <v>-5021</v>
      </c>
      <c r="B23" s="111">
        <v>-1.2972899996384513E-2</v>
      </c>
      <c r="D23" s="112">
        <f t="shared" si="3"/>
        <v>-0.50209999999999999</v>
      </c>
      <c r="E23" s="112">
        <f t="shared" si="4"/>
        <v>-1.2972899996384513E-2</v>
      </c>
      <c r="F23" s="21">
        <f t="shared" si="9"/>
        <v>0.25210441</v>
      </c>
      <c r="G23" s="21">
        <f t="shared" si="10"/>
        <v>-0.126581624261</v>
      </c>
      <c r="H23" s="21">
        <f t="shared" si="11"/>
        <v>6.3556633541448096E-2</v>
      </c>
      <c r="I23" s="21">
        <f t="shared" si="12"/>
        <v>6.5136930881846637E-3</v>
      </c>
      <c r="J23" s="21">
        <f t="shared" si="13"/>
        <v>-3.2705252995775197E-3</v>
      </c>
      <c r="K23" s="21">
        <f t="shared" ca="1" si="5"/>
        <v>-3.3814398972997137E-2</v>
      </c>
      <c r="L23" s="21">
        <f t="shared" ca="1" si="14"/>
        <v>4.3436807959214508E-4</v>
      </c>
      <c r="M23" s="21">
        <f t="shared" ca="1" si="6"/>
        <v>25817.433545334814</v>
      </c>
      <c r="N23" s="21">
        <f t="shared" ca="1" si="7"/>
        <v>2278101.7854779791</v>
      </c>
      <c r="O23" s="21">
        <f t="shared" ca="1" si="8"/>
        <v>2509431.6677081077</v>
      </c>
      <c r="P23">
        <f t="shared" ca="1" si="15"/>
        <v>2.0841498976612624E-2</v>
      </c>
      <c r="R23">
        <v>23</v>
      </c>
      <c r="S23" t="s">
        <v>1006</v>
      </c>
    </row>
    <row r="24" spans="1:19" x14ac:dyDescent="0.2">
      <c r="A24" s="111">
        <v>-3876</v>
      </c>
      <c r="B24" s="111">
        <v>-1.471240000682883E-2</v>
      </c>
      <c r="D24" s="112">
        <f t="shared" si="3"/>
        <v>-0.3876</v>
      </c>
      <c r="E24" s="112">
        <f t="shared" si="4"/>
        <v>-1.471240000682883E-2</v>
      </c>
      <c r="F24" s="21">
        <f t="shared" si="9"/>
        <v>0.15023375999999999</v>
      </c>
      <c r="G24" s="21">
        <f t="shared" si="10"/>
        <v>-5.8230605376E-2</v>
      </c>
      <c r="H24" s="21">
        <f t="shared" si="11"/>
        <v>2.2570182643737599E-2</v>
      </c>
      <c r="I24" s="21">
        <f t="shared" si="12"/>
        <v>5.7025262426468543E-3</v>
      </c>
      <c r="J24" s="21">
        <f t="shared" si="13"/>
        <v>-2.2102991716499206E-3</v>
      </c>
      <c r="K24" s="21">
        <f t="shared" ca="1" si="5"/>
        <v>-2.4574123854614015E-2</v>
      </c>
      <c r="L24" s="21">
        <f t="shared" ca="1" si="14"/>
        <v>9.7253597249975034E-5</v>
      </c>
      <c r="M24" s="21">
        <f t="shared" ca="1" si="6"/>
        <v>24082.622455465749</v>
      </c>
      <c r="N24" s="21">
        <f t="shared" ca="1" si="7"/>
        <v>1230887.4201024277</v>
      </c>
      <c r="O24" s="21">
        <f t="shared" ca="1" si="8"/>
        <v>1159302.961676304</v>
      </c>
      <c r="P24">
        <f t="shared" ca="1" si="15"/>
        <v>9.8617238477851851E-3</v>
      </c>
      <c r="R24">
        <v>24</v>
      </c>
      <c r="S24" t="s">
        <v>992</v>
      </c>
    </row>
    <row r="25" spans="1:19" x14ac:dyDescent="0.2">
      <c r="A25" s="111">
        <v>-3741</v>
      </c>
      <c r="B25" s="111">
        <v>-1.1100900002929848E-2</v>
      </c>
      <c r="D25" s="112">
        <f t="shared" si="3"/>
        <v>-0.37409999999999999</v>
      </c>
      <c r="E25" s="112">
        <f t="shared" si="4"/>
        <v>-1.1100900002929848E-2</v>
      </c>
      <c r="F25" s="21">
        <f t="shared" si="9"/>
        <v>0.13995080999999998</v>
      </c>
      <c r="G25" s="21">
        <f t="shared" si="10"/>
        <v>-5.235559802099999E-2</v>
      </c>
      <c r="H25" s="21">
        <f t="shared" si="11"/>
        <v>1.9586229219656096E-2</v>
      </c>
      <c r="I25" s="21">
        <f t="shared" si="12"/>
        <v>4.1528466910960562E-3</v>
      </c>
      <c r="J25" s="21">
        <f t="shared" si="13"/>
        <v>-1.5535799471390345E-3</v>
      </c>
      <c r="K25" s="21">
        <f t="shared" ca="1" si="5"/>
        <v>-2.3551000546028614E-2</v>
      </c>
      <c r="L25" s="21">
        <f t="shared" ca="1" si="14"/>
        <v>1.5500500353326818E-4</v>
      </c>
      <c r="M25" s="21">
        <f t="shared" ca="1" si="6"/>
        <v>23842.149263973955</v>
      </c>
      <c r="N25" s="21">
        <f t="shared" ca="1" si="7"/>
        <v>1135270.1587785427</v>
      </c>
      <c r="O25" s="21">
        <f t="shared" ca="1" si="8"/>
        <v>1044302.2668200517</v>
      </c>
      <c r="P25">
        <f t="shared" ca="1" si="15"/>
        <v>1.2450100543098766E-2</v>
      </c>
      <c r="R25">
        <v>25</v>
      </c>
      <c r="S25" t="s">
        <v>993</v>
      </c>
    </row>
    <row r="26" spans="1:19" x14ac:dyDescent="0.2">
      <c r="A26" s="111">
        <v>-3728</v>
      </c>
      <c r="B26" s="111">
        <v>-2.6427200005855411E-2</v>
      </c>
      <c r="D26" s="112">
        <f t="shared" si="3"/>
        <v>-0.37280000000000002</v>
      </c>
      <c r="E26" s="112">
        <f t="shared" si="4"/>
        <v>-2.6427200005855411E-2</v>
      </c>
      <c r="F26" s="21">
        <f t="shared" si="9"/>
        <v>0.13897984000000002</v>
      </c>
      <c r="G26" s="21">
        <f t="shared" si="10"/>
        <v>-5.1811684352000009E-2</v>
      </c>
      <c r="H26" s="21">
        <f t="shared" si="11"/>
        <v>1.9315395926425605E-2</v>
      </c>
      <c r="I26" s="21">
        <f t="shared" si="12"/>
        <v>9.8520601621828983E-3</v>
      </c>
      <c r="J26" s="21">
        <f t="shared" si="13"/>
        <v>-3.6728480284617848E-3</v>
      </c>
      <c r="K26" s="21">
        <f t="shared" ca="1" si="5"/>
        <v>-2.3453216223587474E-2</v>
      </c>
      <c r="L26" s="21">
        <f t="shared" ca="1" si="14"/>
        <v>8.8445795371927074E-6</v>
      </c>
      <c r="M26" s="21">
        <f t="shared" ca="1" si="6"/>
        <v>23818.612334359175</v>
      </c>
      <c r="N26" s="21">
        <f t="shared" ca="1" si="7"/>
        <v>1126341.8781125983</v>
      </c>
      <c r="O26" s="21">
        <f t="shared" ca="1" si="8"/>
        <v>1033658.950263159</v>
      </c>
      <c r="P26">
        <f t="shared" ca="1" si="15"/>
        <v>-2.9739837822679374E-3</v>
      </c>
      <c r="R26">
        <v>26</v>
      </c>
      <c r="S26" t="s">
        <v>1007</v>
      </c>
    </row>
    <row r="27" spans="1:19" x14ac:dyDescent="0.2">
      <c r="A27" s="111">
        <v>-3728</v>
      </c>
      <c r="B27" s="111">
        <v>-1.9427200000791345E-2</v>
      </c>
      <c r="D27" s="112">
        <f t="shared" si="3"/>
        <v>-0.37280000000000002</v>
      </c>
      <c r="E27" s="112">
        <f t="shared" si="4"/>
        <v>-1.9427200000791345E-2</v>
      </c>
      <c r="F27" s="21">
        <f t="shared" si="9"/>
        <v>0.13897984000000002</v>
      </c>
      <c r="G27" s="21">
        <f t="shared" si="10"/>
        <v>-5.1811684352000009E-2</v>
      </c>
      <c r="H27" s="21">
        <f t="shared" si="11"/>
        <v>1.9315395926425605E-2</v>
      </c>
      <c r="I27" s="21">
        <f t="shared" si="12"/>
        <v>7.2424601602950134E-3</v>
      </c>
      <c r="J27" s="21">
        <f t="shared" si="13"/>
        <v>-2.6999891477579811E-3</v>
      </c>
      <c r="K27" s="21">
        <f t="shared" ca="1" si="5"/>
        <v>-2.3453216223587474E-2</v>
      </c>
      <c r="L27" s="21">
        <f t="shared" ca="1" si="14"/>
        <v>1.620880662621761E-5</v>
      </c>
      <c r="M27" s="21">
        <f t="shared" ca="1" si="6"/>
        <v>23818.612334359175</v>
      </c>
      <c r="N27" s="21">
        <f t="shared" ca="1" si="7"/>
        <v>1126341.8781125983</v>
      </c>
      <c r="O27" s="21">
        <f t="shared" ca="1" si="8"/>
        <v>1033658.950263159</v>
      </c>
      <c r="P27">
        <f t="shared" ca="1" si="15"/>
        <v>4.0260162227961291E-3</v>
      </c>
    </row>
    <row r="28" spans="1:19" x14ac:dyDescent="0.2">
      <c r="A28" s="111">
        <v>-3727</v>
      </c>
      <c r="B28" s="111">
        <v>-2.9452300004777499E-2</v>
      </c>
      <c r="D28" s="112">
        <f t="shared" si="3"/>
        <v>-0.37269999999999998</v>
      </c>
      <c r="E28" s="112">
        <f t="shared" si="4"/>
        <v>-2.9452300004777499E-2</v>
      </c>
      <c r="F28" s="21">
        <f t="shared" si="9"/>
        <v>0.13890528999999999</v>
      </c>
      <c r="G28" s="21">
        <f t="shared" si="10"/>
        <v>-5.1770001582999992E-2</v>
      </c>
      <c r="H28" s="21">
        <f t="shared" si="11"/>
        <v>1.9294679589984095E-2</v>
      </c>
      <c r="I28" s="21">
        <f t="shared" si="12"/>
        <v>1.0976872211780573E-2</v>
      </c>
      <c r="J28" s="21">
        <f t="shared" si="13"/>
        <v>-4.091080273330619E-3</v>
      </c>
      <c r="K28" s="21">
        <f t="shared" ca="1" si="5"/>
        <v>-2.3445699727515916E-2</v>
      </c>
      <c r="L28" s="21">
        <f t="shared" ca="1" si="14"/>
        <v>3.607924689079892E-5</v>
      </c>
      <c r="M28" s="21">
        <f t="shared" ca="1" si="6"/>
        <v>23816.799052538754</v>
      </c>
      <c r="N28" s="21">
        <f t="shared" ca="1" si="7"/>
        <v>1125657.0947489853</v>
      </c>
      <c r="O28" s="21">
        <f t="shared" ca="1" si="8"/>
        <v>1032843.3195195943</v>
      </c>
      <c r="P28">
        <f t="shared" ca="1" si="15"/>
        <v>-6.0066002772615826E-3</v>
      </c>
    </row>
    <row r="29" spans="1:19" x14ac:dyDescent="0.2">
      <c r="A29" s="111">
        <v>-3727</v>
      </c>
      <c r="B29" s="111">
        <v>-2.3452300003555138E-2</v>
      </c>
      <c r="D29" s="112">
        <f t="shared" si="3"/>
        <v>-0.37269999999999998</v>
      </c>
      <c r="E29" s="112">
        <f t="shared" si="4"/>
        <v>-2.3452300003555138E-2</v>
      </c>
      <c r="F29" s="21">
        <f t="shared" si="9"/>
        <v>0.13890528999999999</v>
      </c>
      <c r="G29" s="21">
        <f t="shared" si="10"/>
        <v>-5.1770001582999992E-2</v>
      </c>
      <c r="H29" s="21">
        <f t="shared" si="11"/>
        <v>1.9294679589984095E-2</v>
      </c>
      <c r="I29" s="21">
        <f t="shared" si="12"/>
        <v>8.7406722113249988E-3</v>
      </c>
      <c r="J29" s="21">
        <f t="shared" si="13"/>
        <v>-3.2576485331608268E-3</v>
      </c>
      <c r="K29" s="21">
        <f t="shared" ca="1" si="5"/>
        <v>-2.3445699727515916E-2</v>
      </c>
      <c r="L29" s="21">
        <f t="shared" ca="1" si="14"/>
        <v>4.356364379392406E-11</v>
      </c>
      <c r="M29" s="21">
        <f t="shared" ca="1" si="6"/>
        <v>23816.799052538754</v>
      </c>
      <c r="N29" s="21">
        <f t="shared" ca="1" si="7"/>
        <v>1125657.0947489853</v>
      </c>
      <c r="O29" s="21">
        <f t="shared" ca="1" si="8"/>
        <v>1032843.3195195943</v>
      </c>
      <c r="P29">
        <f t="shared" ca="1" si="15"/>
        <v>-6.6002760392216975E-6</v>
      </c>
    </row>
    <row r="30" spans="1:19" x14ac:dyDescent="0.2">
      <c r="A30" s="111">
        <v>-3685</v>
      </c>
      <c r="B30" s="111">
        <v>-3.0506500006595161E-2</v>
      </c>
      <c r="D30" s="112">
        <f t="shared" si="3"/>
        <v>-0.36849999999999999</v>
      </c>
      <c r="E30" s="112">
        <f t="shared" si="4"/>
        <v>-3.0506500006595161E-2</v>
      </c>
      <c r="F30" s="21">
        <f t="shared" si="9"/>
        <v>0.13579225</v>
      </c>
      <c r="G30" s="21">
        <f t="shared" si="10"/>
        <v>-5.0039444124999999E-2</v>
      </c>
      <c r="H30" s="21">
        <f t="shared" si="11"/>
        <v>1.8439535160062501E-2</v>
      </c>
      <c r="I30" s="21">
        <f t="shared" si="12"/>
        <v>1.1241645252430316E-2</v>
      </c>
      <c r="J30" s="21">
        <f t="shared" si="13"/>
        <v>-4.1425462755205712E-3</v>
      </c>
      <c r="K30" s="21">
        <f t="shared" ca="1" si="5"/>
        <v>-2.3130700252734726E-2</v>
      </c>
      <c r="L30" s="21">
        <f t="shared" ca="1" si="14"/>
        <v>5.4402422009047646E-5</v>
      </c>
      <c r="M30" s="21">
        <f t="shared" ca="1" si="6"/>
        <v>23740.287514275929</v>
      </c>
      <c r="N30" s="21">
        <f t="shared" ca="1" si="7"/>
        <v>1097153.9534827543</v>
      </c>
      <c r="O30" s="21">
        <f t="shared" ca="1" si="8"/>
        <v>998982.55280468194</v>
      </c>
      <c r="P30">
        <f t="shared" ca="1" si="15"/>
        <v>-7.3757997538604347E-3</v>
      </c>
    </row>
    <row r="31" spans="1:19" x14ac:dyDescent="0.2">
      <c r="A31" s="111">
        <v>-3672</v>
      </c>
      <c r="B31" s="111">
        <v>-2.1832800004631281E-2</v>
      </c>
      <c r="D31" s="112">
        <f t="shared" si="3"/>
        <v>-0.36720000000000003</v>
      </c>
      <c r="E31" s="112">
        <f t="shared" si="4"/>
        <v>-2.1832800004631281E-2</v>
      </c>
      <c r="F31" s="21">
        <f t="shared" si="9"/>
        <v>0.13483584000000001</v>
      </c>
      <c r="G31" s="21">
        <f t="shared" si="10"/>
        <v>-4.9511720448000007E-2</v>
      </c>
      <c r="H31" s="21">
        <f t="shared" si="11"/>
        <v>1.8180703748505604E-2</v>
      </c>
      <c r="I31" s="21">
        <f t="shared" si="12"/>
        <v>8.0170041617006072E-3</v>
      </c>
      <c r="J31" s="21">
        <f t="shared" si="13"/>
        <v>-2.943843928176463E-3</v>
      </c>
      <c r="K31" s="21">
        <f t="shared" ca="1" si="5"/>
        <v>-2.3033474918381189E-2</v>
      </c>
      <c r="L31" s="21">
        <f t="shared" ca="1" si="14"/>
        <v>1.4416202485083488E-6</v>
      </c>
      <c r="M31" s="21">
        <f t="shared" ca="1" si="6"/>
        <v>23716.465693902712</v>
      </c>
      <c r="N31" s="21">
        <f t="shared" ca="1" si="7"/>
        <v>1088433.1255497078</v>
      </c>
      <c r="O31" s="21">
        <f t="shared" ca="1" si="8"/>
        <v>988657.57625277399</v>
      </c>
      <c r="P31">
        <f t="shared" ca="1" si="15"/>
        <v>1.2006749137499079E-3</v>
      </c>
    </row>
    <row r="32" spans="1:19" x14ac:dyDescent="0.2">
      <c r="A32" s="111">
        <v>-896</v>
      </c>
      <c r="B32" s="111">
        <v>7.4896000005537644E-3</v>
      </c>
      <c r="D32" s="112">
        <f t="shared" si="3"/>
        <v>-8.9599999999999999E-2</v>
      </c>
      <c r="E32" s="112">
        <f t="shared" si="4"/>
        <v>7.4896000005537644E-3</v>
      </c>
      <c r="F32" s="21">
        <f t="shared" si="9"/>
        <v>8.0281599999999995E-3</v>
      </c>
      <c r="G32" s="21">
        <f t="shared" si="10"/>
        <v>-7.193231359999999E-4</v>
      </c>
      <c r="H32" s="21">
        <f t="shared" si="11"/>
        <v>6.4451352985599988E-5</v>
      </c>
      <c r="I32" s="21">
        <f t="shared" si="12"/>
        <v>-6.7106816004961726E-4</v>
      </c>
      <c r="J32" s="21">
        <f t="shared" si="13"/>
        <v>6.0127707140445702E-5</v>
      </c>
      <c r="K32" s="21">
        <f t="shared" ca="1" si="5"/>
        <v>-5.2445396110584949E-3</v>
      </c>
      <c r="L32" s="21">
        <f t="shared" ca="1" si="14"/>
        <v>1.6215831164803241E-4</v>
      </c>
      <c r="M32" s="21">
        <f t="shared" ca="1" si="6"/>
        <v>17345.512741900759</v>
      </c>
      <c r="N32" s="21">
        <f t="shared" ca="1" si="7"/>
        <v>87183.694847194143</v>
      </c>
      <c r="O32" s="21">
        <f t="shared" ca="1" si="8"/>
        <v>12937.773367901154</v>
      </c>
      <c r="P32">
        <f t="shared" ca="1" si="15"/>
        <v>1.2734139611612259E-2</v>
      </c>
    </row>
    <row r="33" spans="1:16" x14ac:dyDescent="0.2">
      <c r="A33" s="111">
        <v>-860</v>
      </c>
      <c r="B33" s="111">
        <v>1.0585999996692408E-2</v>
      </c>
      <c r="D33" s="112">
        <f t="shared" si="3"/>
        <v>-8.5999999999999993E-2</v>
      </c>
      <c r="E33" s="112">
        <f t="shared" si="4"/>
        <v>1.0585999996692408E-2</v>
      </c>
      <c r="F33" s="21">
        <f t="shared" si="9"/>
        <v>7.3959999999999989E-3</v>
      </c>
      <c r="G33" s="21">
        <f t="shared" si="10"/>
        <v>-6.3605599999999986E-4</v>
      </c>
      <c r="H33" s="21">
        <f t="shared" si="11"/>
        <v>5.4700815999999987E-5</v>
      </c>
      <c r="I33" s="21">
        <f t="shared" si="12"/>
        <v>-9.1039599971554704E-4</v>
      </c>
      <c r="J33" s="21">
        <f t="shared" si="13"/>
        <v>7.8294055975537037E-5</v>
      </c>
      <c r="K33" s="21">
        <f t="shared" ca="1" si="5"/>
        <v>-5.0527123953429355E-3</v>
      </c>
      <c r="L33" s="21">
        <f t="shared" ca="1" si="14"/>
        <v>2.4456932528079984E-4</v>
      </c>
      <c r="M33" s="21">
        <f t="shared" ca="1" si="6"/>
        <v>17249.540887293781</v>
      </c>
      <c r="N33" s="21">
        <f t="shared" ca="1" si="7"/>
        <v>82618.432771206266</v>
      </c>
      <c r="O33" s="21">
        <f t="shared" ca="1" si="8"/>
        <v>11081.778345602617</v>
      </c>
      <c r="P33">
        <f t="shared" ca="1" si="15"/>
        <v>1.5638712392035344E-2</v>
      </c>
    </row>
    <row r="34" spans="1:16" x14ac:dyDescent="0.2">
      <c r="A34" s="111">
        <v>-847</v>
      </c>
      <c r="B34" s="111">
        <v>-7.7403000032063574E-3</v>
      </c>
      <c r="D34" s="112">
        <f t="shared" si="3"/>
        <v>-8.4699999999999998E-2</v>
      </c>
      <c r="E34" s="112">
        <f t="shared" si="4"/>
        <v>-7.7403000032063574E-3</v>
      </c>
      <c r="F34" s="21">
        <f t="shared" si="9"/>
        <v>7.1740899999999993E-3</v>
      </c>
      <c r="G34" s="21">
        <f t="shared" si="10"/>
        <v>-6.0764542299999991E-4</v>
      </c>
      <c r="H34" s="21">
        <f t="shared" si="11"/>
        <v>5.1467567328099992E-5</v>
      </c>
      <c r="I34" s="21">
        <f t="shared" si="12"/>
        <v>6.5560341027157847E-4</v>
      </c>
      <c r="J34" s="21">
        <f t="shared" si="13"/>
        <v>-5.5529608850002692E-5</v>
      </c>
      <c r="K34" s="21">
        <f t="shared" ca="1" si="5"/>
        <v>-4.9836860136228652E-3</v>
      </c>
      <c r="L34" s="21">
        <f t="shared" ca="1" si="14"/>
        <v>7.5989206875674176E-6</v>
      </c>
      <c r="M34" s="21">
        <f t="shared" ca="1" si="6"/>
        <v>17214.824859421227</v>
      </c>
      <c r="N34" s="21">
        <f t="shared" ca="1" si="7"/>
        <v>81006.718593145924</v>
      </c>
      <c r="O34" s="21">
        <f t="shared" ca="1" si="8"/>
        <v>10450.644062017087</v>
      </c>
      <c r="P34">
        <f t="shared" ca="1" si="15"/>
        <v>-2.7566139895834922E-3</v>
      </c>
    </row>
    <row r="35" spans="1:16" x14ac:dyDescent="0.2">
      <c r="A35" s="111">
        <v>-748</v>
      </c>
      <c r="B35" s="111">
        <v>2.7747999993152916E-3</v>
      </c>
      <c r="D35" s="112">
        <f t="shared" si="3"/>
        <v>-7.4800000000000005E-2</v>
      </c>
      <c r="E35" s="112">
        <f t="shared" si="4"/>
        <v>2.7747999993152916E-3</v>
      </c>
      <c r="F35" s="21">
        <f t="shared" si="9"/>
        <v>5.5950400000000008E-3</v>
      </c>
      <c r="G35" s="21">
        <f t="shared" si="10"/>
        <v>-4.185089920000001E-4</v>
      </c>
      <c r="H35" s="21">
        <f t="shared" si="11"/>
        <v>3.1304472601600009E-5</v>
      </c>
      <c r="I35" s="21">
        <f t="shared" si="12"/>
        <v>-2.0755503994878384E-4</v>
      </c>
      <c r="J35" s="21">
        <f t="shared" si="13"/>
        <v>1.5525116988169031E-5</v>
      </c>
      <c r="K35" s="21">
        <f t="shared" ca="1" si="5"/>
        <v>-4.4622804774986785E-3</v>
      </c>
      <c r="L35" s="21">
        <f t="shared" ca="1" si="14"/>
        <v>5.2375333827881922E-5</v>
      </c>
      <c r="M35" s="21">
        <f t="shared" ca="1" si="6"/>
        <v>16949.437843661832</v>
      </c>
      <c r="N35" s="21">
        <f t="shared" ca="1" si="7"/>
        <v>69361.300009332917</v>
      </c>
      <c r="O35" s="21">
        <f t="shared" ca="1" si="8"/>
        <v>6302.4169295028751</v>
      </c>
      <c r="P35">
        <f t="shared" ca="1" si="15"/>
        <v>7.2370804768139702E-3</v>
      </c>
    </row>
    <row r="36" spans="1:16" x14ac:dyDescent="0.2">
      <c r="A36" s="111">
        <v>-734</v>
      </c>
      <c r="B36" s="111">
        <v>-1.1576600001717452E-2</v>
      </c>
      <c r="D36" s="112">
        <f t="shared" si="3"/>
        <v>-7.3400000000000007E-2</v>
      </c>
      <c r="E36" s="112">
        <f t="shared" si="4"/>
        <v>-1.1576600001717452E-2</v>
      </c>
      <c r="F36" s="21">
        <f t="shared" si="9"/>
        <v>5.3875600000000013E-3</v>
      </c>
      <c r="G36" s="21">
        <f t="shared" si="10"/>
        <v>-3.9544690400000011E-4</v>
      </c>
      <c r="H36" s="21">
        <f t="shared" si="11"/>
        <v>2.9025802753600014E-5</v>
      </c>
      <c r="I36" s="21">
        <f t="shared" si="12"/>
        <v>8.4972244012606105E-4</v>
      </c>
      <c r="J36" s="21">
        <f t="shared" si="13"/>
        <v>-6.2369627105252884E-5</v>
      </c>
      <c r="K36" s="21">
        <f t="shared" ca="1" si="5"/>
        <v>-4.3891537233358173E-3</v>
      </c>
      <c r="L36" s="21">
        <f t="shared" ca="1" si="14"/>
        <v>5.1659384004622013E-5</v>
      </c>
      <c r="M36" s="21">
        <f t="shared" ca="1" si="6"/>
        <v>16911.767160952801</v>
      </c>
      <c r="N36" s="21">
        <f t="shared" ca="1" si="7"/>
        <v>67802.55468840379</v>
      </c>
      <c r="O36" s="21">
        <f t="shared" ca="1" si="8"/>
        <v>5807.0192425533014</v>
      </c>
      <c r="P36">
        <f t="shared" ca="1" si="15"/>
        <v>-7.1874462783816347E-3</v>
      </c>
    </row>
    <row r="37" spans="1:16" x14ac:dyDescent="0.2">
      <c r="A37" s="111">
        <v>-699</v>
      </c>
      <c r="B37" s="111">
        <v>-7.4550999997882172E-3</v>
      </c>
      <c r="D37" s="112">
        <f t="shared" si="3"/>
        <v>-6.9900000000000004E-2</v>
      </c>
      <c r="E37" s="112">
        <f t="shared" si="4"/>
        <v>-7.4550999997882172E-3</v>
      </c>
      <c r="F37" s="21">
        <f t="shared" si="9"/>
        <v>4.8860100000000005E-3</v>
      </c>
      <c r="G37" s="21">
        <f t="shared" si="10"/>
        <v>-3.4153209900000006E-4</v>
      </c>
      <c r="H37" s="21">
        <f t="shared" si="11"/>
        <v>2.3873093720100006E-5</v>
      </c>
      <c r="I37" s="21">
        <f t="shared" si="12"/>
        <v>5.211114899851964E-4</v>
      </c>
      <c r="J37" s="21">
        <f t="shared" si="13"/>
        <v>-3.6425693149965232E-5</v>
      </c>
      <c r="K37" s="21">
        <f t="shared" ca="1" si="5"/>
        <v>-4.2069952613972336E-3</v>
      </c>
      <c r="L37" s="21">
        <f t="shared" ca="1" si="14"/>
        <v>1.055018439155796E-5</v>
      </c>
      <c r="M37" s="21">
        <f t="shared" ca="1" si="6"/>
        <v>16817.441291808947</v>
      </c>
      <c r="N37" s="21">
        <f t="shared" ca="1" si="7"/>
        <v>63999.183555629068</v>
      </c>
      <c r="O37" s="21">
        <f t="shared" ca="1" si="8"/>
        <v>4664.0417022081201</v>
      </c>
      <c r="P37">
        <f t="shared" ca="1" si="15"/>
        <v>-3.2481047383909837E-3</v>
      </c>
    </row>
    <row r="38" spans="1:16" x14ac:dyDescent="0.2">
      <c r="A38" s="111">
        <v>-490</v>
      </c>
      <c r="B38" s="111">
        <v>-9.7010000026784837E-3</v>
      </c>
      <c r="D38" s="112">
        <f t="shared" si="3"/>
        <v>-4.9000000000000002E-2</v>
      </c>
      <c r="E38" s="112">
        <f t="shared" si="4"/>
        <v>-9.7010000026784837E-3</v>
      </c>
      <c r="F38" s="21">
        <f t="shared" si="9"/>
        <v>2.4010000000000004E-3</v>
      </c>
      <c r="G38" s="21">
        <f t="shared" si="10"/>
        <v>-1.1764900000000003E-4</v>
      </c>
      <c r="H38" s="21">
        <f t="shared" si="11"/>
        <v>5.7648010000000014E-6</v>
      </c>
      <c r="I38" s="21">
        <f t="shared" si="12"/>
        <v>4.7534900013124573E-4</v>
      </c>
      <c r="J38" s="21">
        <f t="shared" si="13"/>
        <v>-2.3292101006431043E-5</v>
      </c>
      <c r="K38" s="21">
        <f t="shared" ca="1" si="5"/>
        <v>-3.1388274214497781E-3</v>
      </c>
      <c r="L38" s="21">
        <f t="shared" ca="1" si="14"/>
        <v>4.306210898582981E-5</v>
      </c>
      <c r="M38" s="21">
        <f t="shared" ca="1" si="6"/>
        <v>16249.951260697528</v>
      </c>
      <c r="N38" s="21">
        <f t="shared" ca="1" si="7"/>
        <v>43965.850867586465</v>
      </c>
      <c r="O38" s="21">
        <f t="shared" ca="1" si="8"/>
        <v>508.2031641268261</v>
      </c>
      <c r="P38">
        <f t="shared" ca="1" si="15"/>
        <v>-6.5621725812287056E-3</v>
      </c>
    </row>
    <row r="39" spans="1:16" x14ac:dyDescent="0.2">
      <c r="A39" s="111">
        <v>-433</v>
      </c>
      <c r="B39" s="111">
        <v>-5.131700003403239E-3</v>
      </c>
      <c r="D39" s="112">
        <f t="shared" si="3"/>
        <v>-4.3299999999999998E-2</v>
      </c>
      <c r="E39" s="112">
        <f t="shared" si="4"/>
        <v>-5.131700003403239E-3</v>
      </c>
      <c r="F39" s="21">
        <f t="shared" si="9"/>
        <v>1.8748899999999999E-3</v>
      </c>
      <c r="G39" s="21">
        <f t="shared" si="10"/>
        <v>-8.1182736999999992E-5</v>
      </c>
      <c r="H39" s="21">
        <f t="shared" si="11"/>
        <v>3.5152125120999998E-6</v>
      </c>
      <c r="I39" s="21">
        <f t="shared" si="12"/>
        <v>2.2220261014736025E-4</v>
      </c>
      <c r="J39" s="21">
        <f t="shared" si="13"/>
        <v>-9.6213730193806985E-6</v>
      </c>
      <c r="K39" s="21">
        <f t="shared" ca="1" si="5"/>
        <v>-2.8533299205966227E-3</v>
      </c>
      <c r="L39" s="21">
        <f t="shared" ca="1" si="14"/>
        <v>5.1909702342282273E-6</v>
      </c>
      <c r="M39" s="21">
        <f t="shared" ca="1" si="6"/>
        <v>16093.995746933073</v>
      </c>
      <c r="N39" s="21">
        <f t="shared" ca="1" si="7"/>
        <v>39263.678772765925</v>
      </c>
      <c r="O39" s="21">
        <f t="shared" ca="1" si="8"/>
        <v>110.39881490048425</v>
      </c>
      <c r="P39">
        <f t="shared" ca="1" si="15"/>
        <v>-2.2783700828066162E-3</v>
      </c>
    </row>
    <row r="40" spans="1:16" x14ac:dyDescent="0.2">
      <c r="A40" s="111">
        <v>-433</v>
      </c>
      <c r="B40" s="111">
        <v>8.6829999781912193E-4</v>
      </c>
      <c r="D40" s="112">
        <f t="shared" si="3"/>
        <v>-4.3299999999999998E-2</v>
      </c>
      <c r="E40" s="112">
        <f t="shared" si="4"/>
        <v>8.6829999781912193E-4</v>
      </c>
      <c r="F40" s="21">
        <f t="shared" si="9"/>
        <v>1.8748899999999999E-3</v>
      </c>
      <c r="G40" s="21">
        <f t="shared" si="10"/>
        <v>-8.1182736999999992E-5</v>
      </c>
      <c r="H40" s="21">
        <f t="shared" si="11"/>
        <v>3.5152125120999998E-6</v>
      </c>
      <c r="I40" s="21">
        <f t="shared" si="12"/>
        <v>-3.7597389905567976E-5</v>
      </c>
      <c r="J40" s="21">
        <f t="shared" si="13"/>
        <v>1.6279669829110932E-6</v>
      </c>
      <c r="K40" s="21">
        <f t="shared" ca="1" si="5"/>
        <v>-2.8533299205966227E-3</v>
      </c>
      <c r="L40" s="21">
        <f t="shared" ca="1" si="14"/>
        <v>1.3850529249647183E-5</v>
      </c>
      <c r="M40" s="21">
        <f t="shared" ca="1" si="6"/>
        <v>16093.995746933073</v>
      </c>
      <c r="N40" s="21">
        <f t="shared" ca="1" si="7"/>
        <v>39263.678772765925</v>
      </c>
      <c r="O40" s="21">
        <f t="shared" ca="1" si="8"/>
        <v>110.39881490048425</v>
      </c>
      <c r="P40">
        <f t="shared" ca="1" si="15"/>
        <v>3.7216299184157447E-3</v>
      </c>
    </row>
    <row r="41" spans="1:16" x14ac:dyDescent="0.2">
      <c r="A41" s="111">
        <v>-433</v>
      </c>
      <c r="B41" s="111">
        <v>1.5868299997237045E-2</v>
      </c>
      <c r="D41" s="112">
        <f t="shared" si="3"/>
        <v>-4.3299999999999998E-2</v>
      </c>
      <c r="E41" s="112">
        <f t="shared" si="4"/>
        <v>1.5868299997237045E-2</v>
      </c>
      <c r="F41" s="21">
        <f t="shared" si="9"/>
        <v>1.8748899999999999E-3</v>
      </c>
      <c r="G41" s="21">
        <f t="shared" si="10"/>
        <v>-8.1182736999999992E-5</v>
      </c>
      <c r="H41" s="21">
        <f t="shared" si="11"/>
        <v>3.5152125120999998E-6</v>
      </c>
      <c r="I41" s="21">
        <f t="shared" si="12"/>
        <v>-6.8709738988036401E-4</v>
      </c>
      <c r="J41" s="21">
        <f t="shared" si="13"/>
        <v>2.975131698181976E-5</v>
      </c>
      <c r="K41" s="21">
        <f t="shared" ca="1" si="5"/>
        <v>-2.8533299205966227E-3</v>
      </c>
      <c r="L41" s="21">
        <f t="shared" ca="1" si="14"/>
        <v>3.5049942678032462E-4</v>
      </c>
      <c r="M41" s="21">
        <f t="shared" ca="1" si="6"/>
        <v>16093.995746933073</v>
      </c>
      <c r="N41" s="21">
        <f t="shared" ca="1" si="7"/>
        <v>39263.678772765925</v>
      </c>
      <c r="O41" s="21">
        <f t="shared" ca="1" si="8"/>
        <v>110.39881490048425</v>
      </c>
      <c r="P41">
        <f t="shared" ca="1" si="15"/>
        <v>1.8721629917833667E-2</v>
      </c>
    </row>
    <row r="42" spans="1:16" x14ac:dyDescent="0.2">
      <c r="A42" s="111">
        <v>-384</v>
      </c>
      <c r="B42" s="111">
        <v>-1.8361599999479949E-2</v>
      </c>
      <c r="D42" s="112">
        <f t="shared" si="3"/>
        <v>-3.8399999999999997E-2</v>
      </c>
      <c r="E42" s="112">
        <f t="shared" si="4"/>
        <v>-1.8361599999479949E-2</v>
      </c>
      <c r="F42" s="21">
        <f t="shared" si="9"/>
        <v>1.4745599999999998E-3</v>
      </c>
      <c r="G42" s="21">
        <f t="shared" si="10"/>
        <v>-5.6623103999999987E-5</v>
      </c>
      <c r="H42" s="21">
        <f t="shared" si="11"/>
        <v>2.1743271935999991E-6</v>
      </c>
      <c r="I42" s="21">
        <f t="shared" si="12"/>
        <v>7.0508543998002999E-4</v>
      </c>
      <c r="J42" s="21">
        <f t="shared" si="13"/>
        <v>-2.7075280895233151E-5</v>
      </c>
      <c r="K42" s="21">
        <f t="shared" ca="1" si="5"/>
        <v>-2.6098963269294223E-3</v>
      </c>
      <c r="L42" s="21">
        <f t="shared" ca="1" si="14"/>
        <v>2.4811616858784181E-4</v>
      </c>
      <c r="M42" s="21">
        <f t="shared" ca="1" si="6"/>
        <v>15959.548779357816</v>
      </c>
      <c r="N42" s="21">
        <f t="shared" ca="1" si="7"/>
        <v>35470.024878328644</v>
      </c>
      <c r="O42" s="21">
        <f t="shared" ca="1" si="8"/>
        <v>9.6857014071080758E-2</v>
      </c>
      <c r="P42">
        <f t="shared" ca="1" si="15"/>
        <v>-1.5751703672550528E-2</v>
      </c>
    </row>
    <row r="43" spans="1:16" x14ac:dyDescent="0.2">
      <c r="A43" s="111">
        <v>-377</v>
      </c>
      <c r="B43" s="111">
        <v>1.8462699998053722E-2</v>
      </c>
      <c r="D43" s="112">
        <f t="shared" si="3"/>
        <v>-3.7699999999999997E-2</v>
      </c>
      <c r="E43" s="112">
        <f t="shared" si="4"/>
        <v>1.8462699998053722E-2</v>
      </c>
      <c r="F43" s="21">
        <f t="shared" si="9"/>
        <v>1.4212899999999997E-3</v>
      </c>
      <c r="G43" s="21">
        <f t="shared" si="10"/>
        <v>-5.3582632999999988E-5</v>
      </c>
      <c r="H43" s="21">
        <f t="shared" si="11"/>
        <v>2.0200652640999992E-6</v>
      </c>
      <c r="I43" s="21">
        <f t="shared" si="12"/>
        <v>-6.9604378992662523E-4</v>
      </c>
      <c r="J43" s="21">
        <f t="shared" si="13"/>
        <v>2.624085088023377E-5</v>
      </c>
      <c r="K43" s="21">
        <f t="shared" ca="1" si="5"/>
        <v>-2.5752705960554951E-3</v>
      </c>
      <c r="L43" s="21">
        <f t="shared" ca="1" si="14"/>
        <v>4.4259620671860411E-4</v>
      </c>
      <c r="M43" s="21">
        <f t="shared" ca="1" si="6"/>
        <v>15940.314110902022</v>
      </c>
      <c r="N43" s="21">
        <f t="shared" ca="1" si="7"/>
        <v>34946.506040633401</v>
      </c>
      <c r="O43" s="21">
        <f t="shared" ca="1" si="8"/>
        <v>1.2857951218662129</v>
      </c>
      <c r="P43">
        <f t="shared" ca="1" si="15"/>
        <v>2.1037970594109216E-2</v>
      </c>
    </row>
    <row r="44" spans="1:16" x14ac:dyDescent="0.2">
      <c r="A44" s="111">
        <v>-370</v>
      </c>
      <c r="B44" s="111">
        <v>-1.8713000004936475E-2</v>
      </c>
      <c r="D44" s="112">
        <f t="shared" si="3"/>
        <v>-3.6999999999999998E-2</v>
      </c>
      <c r="E44" s="112">
        <f t="shared" si="4"/>
        <v>-1.8713000004936475E-2</v>
      </c>
      <c r="F44" s="21">
        <f t="shared" si="9"/>
        <v>1.3689999999999998E-3</v>
      </c>
      <c r="G44" s="21">
        <f t="shared" si="10"/>
        <v>-5.0652999999999991E-5</v>
      </c>
      <c r="H44" s="21">
        <f t="shared" si="11"/>
        <v>1.8741609999999993E-6</v>
      </c>
      <c r="I44" s="21">
        <f t="shared" si="12"/>
        <v>6.9238100018264952E-4</v>
      </c>
      <c r="J44" s="21">
        <f t="shared" si="13"/>
        <v>-2.5618097006758032E-5</v>
      </c>
      <c r="K44" s="21">
        <f t="shared" ca="1" si="5"/>
        <v>-2.5406824893797714E-3</v>
      </c>
      <c r="L44" s="21">
        <f t="shared" ca="1" si="14"/>
        <v>2.6154385382398215E-4</v>
      </c>
      <c r="M44" s="21">
        <f t="shared" ca="1" si="6"/>
        <v>15921.07255301761</v>
      </c>
      <c r="N44" s="21">
        <f t="shared" ca="1" si="7"/>
        <v>34427.549689029103</v>
      </c>
      <c r="O44" s="21">
        <f t="shared" ca="1" si="8"/>
        <v>6.6369382722511867</v>
      </c>
      <c r="P44">
        <f t="shared" ca="1" si="15"/>
        <v>-1.6172317515556704E-2</v>
      </c>
    </row>
    <row r="45" spans="1:16" x14ac:dyDescent="0.2">
      <c r="A45" s="111">
        <v>-370</v>
      </c>
      <c r="B45" s="111">
        <v>1.2286999997741077E-2</v>
      </c>
      <c r="D45" s="112">
        <f t="shared" si="3"/>
        <v>-3.6999999999999998E-2</v>
      </c>
      <c r="E45" s="112">
        <f t="shared" si="4"/>
        <v>1.2286999997741077E-2</v>
      </c>
      <c r="F45" s="21">
        <f t="shared" si="9"/>
        <v>1.3689999999999998E-3</v>
      </c>
      <c r="G45" s="21">
        <f t="shared" si="10"/>
        <v>-5.0652999999999991E-5</v>
      </c>
      <c r="H45" s="21">
        <f t="shared" si="11"/>
        <v>1.8741609999999993E-6</v>
      </c>
      <c r="I45" s="21">
        <f t="shared" si="12"/>
        <v>-4.5461899991641985E-4</v>
      </c>
      <c r="J45" s="21">
        <f t="shared" si="13"/>
        <v>1.6820902996907535E-5</v>
      </c>
      <c r="K45" s="21">
        <f t="shared" ca="1" si="5"/>
        <v>-2.5406824893797714E-3</v>
      </c>
      <c r="L45" s="21">
        <f t="shared" ca="1" si="14"/>
        <v>2.1986016793887033E-4</v>
      </c>
      <c r="M45" s="21">
        <f t="shared" ca="1" si="6"/>
        <v>15921.07255301761</v>
      </c>
      <c r="N45" s="21">
        <f t="shared" ca="1" si="7"/>
        <v>34427.549689029103</v>
      </c>
      <c r="O45" s="21">
        <f t="shared" ca="1" si="8"/>
        <v>6.6369382722511867</v>
      </c>
      <c r="P45">
        <f t="shared" ca="1" si="15"/>
        <v>1.4827682487120849E-2</v>
      </c>
    </row>
    <row r="46" spans="1:16" x14ac:dyDescent="0.2">
      <c r="A46" s="111">
        <v>-314</v>
      </c>
      <c r="B46" s="111">
        <v>1.6881399998965207E-2</v>
      </c>
      <c r="D46" s="112">
        <f t="shared" si="3"/>
        <v>-3.1399999999999997E-2</v>
      </c>
      <c r="E46" s="112">
        <f t="shared" si="4"/>
        <v>1.6881399998965207E-2</v>
      </c>
      <c r="F46" s="21">
        <f t="shared" si="9"/>
        <v>9.8595999999999992E-4</v>
      </c>
      <c r="G46" s="21">
        <f t="shared" si="10"/>
        <v>-3.0959143999999993E-5</v>
      </c>
      <c r="H46" s="21">
        <f t="shared" si="11"/>
        <v>9.7211712159999974E-7</v>
      </c>
      <c r="I46" s="21">
        <f t="shared" si="12"/>
        <v>-5.3007595996750747E-4</v>
      </c>
      <c r="J46" s="21">
        <f t="shared" si="13"/>
        <v>1.6644385142979732E-5</v>
      </c>
      <c r="K46" s="21">
        <f t="shared" ca="1" si="5"/>
        <v>-2.2653321071093276E-3</v>
      </c>
      <c r="L46" s="21">
        <f t="shared" ca="1" si="14"/>
        <v>3.6659735034178539E-4</v>
      </c>
      <c r="M46" s="21">
        <f t="shared" ca="1" si="6"/>
        <v>15766.896097811428</v>
      </c>
      <c r="N46" s="21">
        <f t="shared" ca="1" si="7"/>
        <v>30438.340615784502</v>
      </c>
      <c r="O46" s="21">
        <f t="shared" ca="1" si="8"/>
        <v>196.33493476058936</v>
      </c>
      <c r="P46">
        <f t="shared" ca="1" si="15"/>
        <v>1.9146732106074534E-2</v>
      </c>
    </row>
    <row r="47" spans="1:16" x14ac:dyDescent="0.2">
      <c r="A47" s="111">
        <v>-244</v>
      </c>
      <c r="B47" s="111">
        <v>2.124400001775939E-3</v>
      </c>
      <c r="D47" s="112">
        <f t="shared" si="3"/>
        <v>-2.4400000000000002E-2</v>
      </c>
      <c r="E47" s="112">
        <f t="shared" si="4"/>
        <v>2.124400001775939E-3</v>
      </c>
      <c r="F47" s="21">
        <f t="shared" si="9"/>
        <v>5.9536000000000007E-4</v>
      </c>
      <c r="G47" s="21">
        <f t="shared" si="10"/>
        <v>-1.4526784000000003E-5</v>
      </c>
      <c r="H47" s="21">
        <f t="shared" si="11"/>
        <v>3.5445352960000007E-7</v>
      </c>
      <c r="I47" s="21">
        <f t="shared" si="12"/>
        <v>-5.1835360043332917E-5</v>
      </c>
      <c r="J47" s="21">
        <f t="shared" si="13"/>
        <v>1.2647827850573232E-6</v>
      </c>
      <c r="K47" s="21">
        <f t="shared" ca="1" si="5"/>
        <v>-1.9245303071096286E-3</v>
      </c>
      <c r="L47" s="21">
        <f t="shared" ca="1" si="14"/>
        <v>1.6393836646212176E-5</v>
      </c>
      <c r="M47" s="21">
        <f t="shared" ca="1" si="6"/>
        <v>15573.584769921537</v>
      </c>
      <c r="N47" s="21">
        <f t="shared" ca="1" si="7"/>
        <v>25849.402553205586</v>
      </c>
      <c r="O47" s="21">
        <f t="shared" ca="1" si="8"/>
        <v>786.80354546200454</v>
      </c>
      <c r="P47">
        <f t="shared" ca="1" si="15"/>
        <v>4.0489303088855674E-3</v>
      </c>
    </row>
    <row r="48" spans="1:16" x14ac:dyDescent="0.2">
      <c r="A48" s="111">
        <v>-244</v>
      </c>
      <c r="B48" s="111">
        <v>1.0124400003405754E-2</v>
      </c>
      <c r="D48" s="112">
        <f t="shared" si="3"/>
        <v>-2.4400000000000002E-2</v>
      </c>
      <c r="E48" s="112">
        <f t="shared" si="4"/>
        <v>1.0124400003405754E-2</v>
      </c>
      <c r="F48" s="21">
        <f t="shared" si="9"/>
        <v>5.9536000000000007E-4</v>
      </c>
      <c r="G48" s="21">
        <f t="shared" si="10"/>
        <v>-1.4526784000000003E-5</v>
      </c>
      <c r="H48" s="21">
        <f t="shared" si="11"/>
        <v>3.5445352960000007E-7</v>
      </c>
      <c r="I48" s="21">
        <f t="shared" si="12"/>
        <v>-2.4703536008310038E-4</v>
      </c>
      <c r="J48" s="21">
        <f t="shared" si="13"/>
        <v>6.0276627860276499E-6</v>
      </c>
      <c r="K48" s="21">
        <f t="shared" ca="1" si="5"/>
        <v>-1.9245303071096286E-3</v>
      </c>
      <c r="L48" s="21">
        <f t="shared" ca="1" si="14"/>
        <v>1.4517672162765629E-4</v>
      </c>
      <c r="M48" s="21">
        <f t="shared" ca="1" si="6"/>
        <v>15573.584769921537</v>
      </c>
      <c r="N48" s="21">
        <f t="shared" ca="1" si="7"/>
        <v>25849.402553205586</v>
      </c>
      <c r="O48" s="21">
        <f t="shared" ca="1" si="8"/>
        <v>786.80354546200454</v>
      </c>
      <c r="P48">
        <f t="shared" ca="1" si="15"/>
        <v>1.2048930310515382E-2</v>
      </c>
    </row>
    <row r="49" spans="1:16" x14ac:dyDescent="0.2">
      <c r="A49" s="111">
        <v>28</v>
      </c>
      <c r="B49" s="111">
        <v>2.9719999292865396E-4</v>
      </c>
      <c r="D49" s="112">
        <f t="shared" si="3"/>
        <v>2.8E-3</v>
      </c>
      <c r="E49" s="112">
        <f t="shared" si="4"/>
        <v>2.9719999292865396E-4</v>
      </c>
      <c r="F49" s="21">
        <f t="shared" si="9"/>
        <v>7.8399999999999995E-6</v>
      </c>
      <c r="G49" s="21">
        <f t="shared" si="10"/>
        <v>2.1951999999999997E-8</v>
      </c>
      <c r="H49" s="21">
        <f t="shared" si="11"/>
        <v>6.1465599999999989E-11</v>
      </c>
      <c r="I49" s="21">
        <f t="shared" si="12"/>
        <v>8.3215998020023111E-7</v>
      </c>
      <c r="J49" s="21">
        <f t="shared" si="13"/>
        <v>2.3300479445606472E-9</v>
      </c>
      <c r="K49" s="21">
        <f t="shared" ca="1" si="5"/>
        <v>-6.3598569459777832E-4</v>
      </c>
      <c r="L49" s="21">
        <f t="shared" ca="1" si="14"/>
        <v>8.708355274041801E-7</v>
      </c>
      <c r="M49" s="21">
        <f t="shared" ca="1" si="6"/>
        <v>14816.816520853541</v>
      </c>
      <c r="N49" s="21">
        <f t="shared" ca="1" si="7"/>
        <v>11947.121552335857</v>
      </c>
      <c r="O49" s="21">
        <f t="shared" ca="1" si="8"/>
        <v>6382.6593113959016</v>
      </c>
      <c r="P49">
        <f t="shared" ca="1" si="15"/>
        <v>9.3318568752643227E-4</v>
      </c>
    </row>
    <row r="50" spans="1:16" x14ac:dyDescent="0.2">
      <c r="A50" s="111">
        <v>28</v>
      </c>
      <c r="B50" s="111">
        <v>2.9719999292865396E-4</v>
      </c>
      <c r="D50" s="112">
        <f t="shared" si="3"/>
        <v>2.8E-3</v>
      </c>
      <c r="E50" s="112">
        <f t="shared" si="4"/>
        <v>2.9719999292865396E-4</v>
      </c>
      <c r="F50" s="21">
        <f t="shared" si="9"/>
        <v>7.8399999999999995E-6</v>
      </c>
      <c r="G50" s="21">
        <f t="shared" si="10"/>
        <v>2.1951999999999997E-8</v>
      </c>
      <c r="H50" s="21">
        <f t="shared" si="11"/>
        <v>6.1465599999999989E-11</v>
      </c>
      <c r="I50" s="21">
        <f t="shared" si="12"/>
        <v>8.3215998020023111E-7</v>
      </c>
      <c r="J50" s="21">
        <f t="shared" si="13"/>
        <v>2.3300479445606472E-9</v>
      </c>
      <c r="K50" s="21">
        <f t="shared" ca="1" si="5"/>
        <v>-6.3598569459777832E-4</v>
      </c>
      <c r="L50" s="21">
        <f t="shared" ca="1" si="14"/>
        <v>8.708355274041801E-7</v>
      </c>
      <c r="M50" s="21">
        <f t="shared" ca="1" si="6"/>
        <v>14816.816520853541</v>
      </c>
      <c r="N50" s="21">
        <f t="shared" ca="1" si="7"/>
        <v>11947.121552335857</v>
      </c>
      <c r="O50" s="21">
        <f t="shared" ca="1" si="8"/>
        <v>6382.6593113959016</v>
      </c>
      <c r="P50">
        <f t="shared" ca="1" si="15"/>
        <v>9.3318568752643227E-4</v>
      </c>
    </row>
    <row r="51" spans="1:16" x14ac:dyDescent="0.2">
      <c r="A51" s="111">
        <v>35</v>
      </c>
      <c r="B51" s="111">
        <v>-8.7850000272737816E-4</v>
      </c>
      <c r="D51" s="112">
        <f t="shared" si="3"/>
        <v>3.5000000000000001E-3</v>
      </c>
      <c r="E51" s="112">
        <f t="shared" si="4"/>
        <v>-8.7850000272737816E-4</v>
      </c>
      <c r="F51" s="21">
        <f t="shared" si="9"/>
        <v>1.2250000000000001E-5</v>
      </c>
      <c r="G51" s="21">
        <f t="shared" si="10"/>
        <v>4.2875000000000005E-8</v>
      </c>
      <c r="H51" s="21">
        <f t="shared" si="11"/>
        <v>1.5006250000000004E-10</v>
      </c>
      <c r="I51" s="21">
        <f t="shared" si="12"/>
        <v>-3.0747500095458238E-6</v>
      </c>
      <c r="J51" s="21">
        <f t="shared" si="13"/>
        <v>-1.0761625033410383E-8</v>
      </c>
      <c r="K51" s="21">
        <f t="shared" ca="1" si="5"/>
        <v>-6.0357441653242634E-4</v>
      </c>
      <c r="L51" s="21">
        <f t="shared" ca="1" si="14"/>
        <v>7.5584077944637889E-8</v>
      </c>
      <c r="M51" s="21">
        <f t="shared" ca="1" si="6"/>
        <v>14797.234445916609</v>
      </c>
      <c r="N51" s="21">
        <f t="shared" ca="1" si="7"/>
        <v>11667.061057037596</v>
      </c>
      <c r="O51" s="21">
        <f t="shared" ca="1" si="8"/>
        <v>6588.3879066072395</v>
      </c>
      <c r="P51">
        <f t="shared" ca="1" si="15"/>
        <v>-2.7492558619495182E-4</v>
      </c>
    </row>
    <row r="52" spans="1:16" x14ac:dyDescent="0.2">
      <c r="A52" s="111">
        <v>35</v>
      </c>
      <c r="B52" s="111">
        <v>-8.7850000272737816E-4</v>
      </c>
      <c r="D52" s="112">
        <f t="shared" si="3"/>
        <v>3.5000000000000001E-3</v>
      </c>
      <c r="E52" s="112">
        <f t="shared" si="4"/>
        <v>-8.7850000272737816E-4</v>
      </c>
      <c r="F52" s="21">
        <f t="shared" si="9"/>
        <v>1.2250000000000001E-5</v>
      </c>
      <c r="G52" s="21">
        <f t="shared" si="10"/>
        <v>4.2875000000000005E-8</v>
      </c>
      <c r="H52" s="21">
        <f t="shared" si="11"/>
        <v>1.5006250000000004E-10</v>
      </c>
      <c r="I52" s="21">
        <f t="shared" si="12"/>
        <v>-3.0747500095458238E-6</v>
      </c>
      <c r="J52" s="21">
        <f t="shared" si="13"/>
        <v>-1.0761625033410383E-8</v>
      </c>
      <c r="K52" s="21">
        <f t="shared" ca="1" si="5"/>
        <v>-6.0357441653242634E-4</v>
      </c>
      <c r="L52" s="21">
        <f t="shared" ca="1" si="14"/>
        <v>7.5584077944637889E-8</v>
      </c>
      <c r="M52" s="21">
        <f t="shared" ca="1" si="6"/>
        <v>14797.234445916609</v>
      </c>
      <c r="N52" s="21">
        <f t="shared" ca="1" si="7"/>
        <v>11667.061057037596</v>
      </c>
      <c r="O52" s="21">
        <f t="shared" ca="1" si="8"/>
        <v>6588.3879066072395</v>
      </c>
      <c r="P52">
        <f t="shared" ca="1" si="15"/>
        <v>-2.7492558619495182E-4</v>
      </c>
    </row>
    <row r="53" spans="1:16" x14ac:dyDescent="0.2">
      <c r="A53" s="111">
        <v>36</v>
      </c>
      <c r="B53" s="111">
        <v>-1.4903600007528439E-2</v>
      </c>
      <c r="D53" s="112">
        <f t="shared" ref="D53:D84" si="16">A53/A$18</f>
        <v>3.5999999999999999E-3</v>
      </c>
      <c r="E53" s="112">
        <f t="shared" ref="E53:E84" si="17">B53/B$18</f>
        <v>-1.4903600007528439E-2</v>
      </c>
      <c r="F53" s="21">
        <f t="shared" si="9"/>
        <v>1.296E-5</v>
      </c>
      <c r="G53" s="21">
        <f t="shared" si="10"/>
        <v>4.6655999999999998E-8</v>
      </c>
      <c r="H53" s="21">
        <f t="shared" si="11"/>
        <v>1.679616E-10</v>
      </c>
      <c r="I53" s="21">
        <f t="shared" si="12"/>
        <v>-5.3652960027102378E-5</v>
      </c>
      <c r="J53" s="21">
        <f t="shared" si="13"/>
        <v>-1.9315065609756856E-7</v>
      </c>
      <c r="K53" s="21">
        <f t="shared" ref="K53:K84" ca="1" si="18">+E$4+E$5*D53+E$6*D53^2</f>
        <v>-5.9894730531478058E-4</v>
      </c>
      <c r="L53" s="21">
        <f t="shared" ca="1" si="14"/>
        <v>2.0462308893094851E-4</v>
      </c>
      <c r="M53" s="21">
        <f t="shared" ref="M53:M84" ca="1" si="19">(M$1-M$2*D53+M$3*F53)^2</f>
        <v>14794.436608865719</v>
      </c>
      <c r="N53" s="21">
        <f t="shared" ref="N53:N84" ca="1" si="20">(-M$2+M$4*D53-M$5*F53)^2</f>
        <v>11627.355363707195</v>
      </c>
      <c r="O53" s="21">
        <f t="shared" ref="O53:O84" ca="1" si="21">+(M$3-D53*M$5+F53*M$6)^2</f>
        <v>6618.0062199821969</v>
      </c>
      <c r="P53">
        <f t="shared" ca="1" si="15"/>
        <v>-1.4304652702213658E-2</v>
      </c>
    </row>
    <row r="54" spans="1:16" x14ac:dyDescent="0.2">
      <c r="A54" s="111">
        <v>41</v>
      </c>
      <c r="B54" s="111">
        <v>-1.0029100005340297E-2</v>
      </c>
      <c r="D54" s="112">
        <f t="shared" si="16"/>
        <v>4.1000000000000003E-3</v>
      </c>
      <c r="E54" s="112">
        <f t="shared" si="17"/>
        <v>-1.0029100005340297E-2</v>
      </c>
      <c r="F54" s="21">
        <f t="shared" si="9"/>
        <v>1.6810000000000003E-5</v>
      </c>
      <c r="G54" s="21">
        <f t="shared" si="10"/>
        <v>6.8921000000000025E-8</v>
      </c>
      <c r="H54" s="21">
        <f t="shared" si="11"/>
        <v>2.8257610000000012E-10</v>
      </c>
      <c r="I54" s="21">
        <f t="shared" si="12"/>
        <v>-4.1119310021895217E-5</v>
      </c>
      <c r="J54" s="21">
        <f t="shared" si="13"/>
        <v>-1.6858917108977042E-7</v>
      </c>
      <c r="K54" s="21">
        <f t="shared" ca="1" si="18"/>
        <v>-5.7582326683824621E-4</v>
      </c>
      <c r="L54" s="21">
        <f t="shared" ca="1" si="14"/>
        <v>8.9364441094703982E-5</v>
      </c>
      <c r="M54" s="21">
        <f t="shared" ca="1" si="19"/>
        <v>14780.445938663457</v>
      </c>
      <c r="N54" s="21">
        <f t="shared" ca="1" si="20"/>
        <v>11429.960310427992</v>
      </c>
      <c r="O54" s="21">
        <f t="shared" ca="1" si="21"/>
        <v>6766.9505783039458</v>
      </c>
      <c r="P54">
        <f t="shared" ca="1" si="15"/>
        <v>-9.4532767385020512E-3</v>
      </c>
    </row>
    <row r="55" spans="1:16" x14ac:dyDescent="0.2">
      <c r="A55" s="111">
        <v>70</v>
      </c>
      <c r="B55" s="111">
        <v>-2.2757000006095041E-2</v>
      </c>
      <c r="D55" s="112">
        <f t="shared" si="16"/>
        <v>7.0000000000000001E-3</v>
      </c>
      <c r="E55" s="112">
        <f t="shared" si="17"/>
        <v>-2.2757000006095041E-2</v>
      </c>
      <c r="F55" s="21">
        <f t="shared" si="9"/>
        <v>4.9000000000000005E-5</v>
      </c>
      <c r="G55" s="21">
        <f t="shared" si="10"/>
        <v>3.4300000000000004E-7</v>
      </c>
      <c r="H55" s="21">
        <f t="shared" si="11"/>
        <v>2.4010000000000007E-9</v>
      </c>
      <c r="I55" s="21">
        <f t="shared" si="12"/>
        <v>-1.5929900004266529E-4</v>
      </c>
      <c r="J55" s="21">
        <f t="shared" si="13"/>
        <v>-1.115093000298657E-6</v>
      </c>
      <c r="K55" s="21">
        <f t="shared" ca="1" si="18"/>
        <v>-4.4208238917872614E-4</v>
      </c>
      <c r="L55" s="21">
        <f t="shared" ca="1" si="14"/>
        <v>4.9795554824976201E-4</v>
      </c>
      <c r="M55" s="21">
        <f t="shared" ca="1" si="19"/>
        <v>14699.25184035277</v>
      </c>
      <c r="N55" s="21">
        <f t="shared" ca="1" si="20"/>
        <v>10322.08697942077</v>
      </c>
      <c r="O55" s="21">
        <f t="shared" ca="1" si="21"/>
        <v>7658.4914883464626</v>
      </c>
      <c r="P55">
        <f t="shared" ca="1" si="15"/>
        <v>-2.2314917616916313E-2</v>
      </c>
    </row>
    <row r="56" spans="1:16" x14ac:dyDescent="0.2">
      <c r="A56" s="111">
        <v>70</v>
      </c>
      <c r="B56" s="111">
        <v>-8.7570000032428652E-3</v>
      </c>
      <c r="D56" s="112">
        <f t="shared" si="16"/>
        <v>7.0000000000000001E-3</v>
      </c>
      <c r="E56" s="112">
        <f t="shared" si="17"/>
        <v>-8.7570000032428652E-3</v>
      </c>
      <c r="F56" s="21">
        <f t="shared" si="9"/>
        <v>4.9000000000000005E-5</v>
      </c>
      <c r="G56" s="21">
        <f t="shared" si="10"/>
        <v>3.4300000000000004E-7</v>
      </c>
      <c r="H56" s="21">
        <f t="shared" si="11"/>
        <v>2.4010000000000007E-9</v>
      </c>
      <c r="I56" s="21">
        <f t="shared" si="12"/>
        <v>-6.129900002270006E-5</v>
      </c>
      <c r="J56" s="21">
        <f t="shared" si="13"/>
        <v>-4.2909300015890043E-7</v>
      </c>
      <c r="K56" s="21">
        <f t="shared" ca="1" si="18"/>
        <v>-4.4208238917872614E-4</v>
      </c>
      <c r="L56" s="21">
        <f t="shared" ca="1" si="14"/>
        <v>6.9137854928674091E-5</v>
      </c>
      <c r="M56" s="21">
        <f t="shared" ca="1" si="19"/>
        <v>14699.25184035277</v>
      </c>
      <c r="N56" s="21">
        <f t="shared" ca="1" si="20"/>
        <v>10322.08697942077</v>
      </c>
      <c r="O56" s="21">
        <f t="shared" ca="1" si="21"/>
        <v>7658.4914883464626</v>
      </c>
      <c r="P56">
        <f t="shared" ca="1" si="15"/>
        <v>-8.3149176140641396E-3</v>
      </c>
    </row>
    <row r="57" spans="1:16" x14ac:dyDescent="0.2">
      <c r="A57" s="111">
        <v>70</v>
      </c>
      <c r="B57" s="111">
        <v>-8.7570000032428652E-3</v>
      </c>
      <c r="D57" s="112">
        <f t="shared" si="16"/>
        <v>7.0000000000000001E-3</v>
      </c>
      <c r="E57" s="112">
        <f t="shared" si="17"/>
        <v>-8.7570000032428652E-3</v>
      </c>
      <c r="F57" s="21">
        <f t="shared" si="9"/>
        <v>4.9000000000000005E-5</v>
      </c>
      <c r="G57" s="21">
        <f t="shared" si="10"/>
        <v>3.4300000000000004E-7</v>
      </c>
      <c r="H57" s="21">
        <f t="shared" si="11"/>
        <v>2.4010000000000007E-9</v>
      </c>
      <c r="I57" s="21">
        <f t="shared" si="12"/>
        <v>-6.129900002270006E-5</v>
      </c>
      <c r="J57" s="21">
        <f t="shared" si="13"/>
        <v>-4.2909300015890043E-7</v>
      </c>
      <c r="K57" s="21">
        <f t="shared" ca="1" si="18"/>
        <v>-4.4208238917872614E-4</v>
      </c>
      <c r="L57" s="21">
        <f t="shared" ca="1" si="14"/>
        <v>6.9137854928674091E-5</v>
      </c>
      <c r="M57" s="21">
        <f t="shared" ca="1" si="19"/>
        <v>14699.25184035277</v>
      </c>
      <c r="N57" s="21">
        <f t="shared" ca="1" si="20"/>
        <v>10322.08697942077</v>
      </c>
      <c r="O57" s="21">
        <f t="shared" ca="1" si="21"/>
        <v>7658.4914883464626</v>
      </c>
      <c r="P57">
        <f t="shared" ca="1" si="15"/>
        <v>-8.3149176140641396E-3</v>
      </c>
    </row>
    <row r="58" spans="1:16" x14ac:dyDescent="0.2">
      <c r="A58" s="111">
        <v>71</v>
      </c>
      <c r="B58" s="111">
        <v>2.179000002797693E-4</v>
      </c>
      <c r="D58" s="112">
        <f t="shared" si="16"/>
        <v>7.1000000000000004E-3</v>
      </c>
      <c r="E58" s="112">
        <f t="shared" si="17"/>
        <v>2.179000002797693E-4</v>
      </c>
      <c r="F58" s="21">
        <f t="shared" si="9"/>
        <v>5.0410000000000007E-5</v>
      </c>
      <c r="G58" s="21">
        <f t="shared" si="10"/>
        <v>3.5791100000000009E-7</v>
      </c>
      <c r="H58" s="21">
        <f t="shared" si="11"/>
        <v>2.5411681000000009E-9</v>
      </c>
      <c r="I58" s="21">
        <f t="shared" si="12"/>
        <v>1.5470900019863621E-6</v>
      </c>
      <c r="J58" s="21">
        <f t="shared" si="13"/>
        <v>1.0984339014103171E-8</v>
      </c>
      <c r="K58" s="21">
        <f t="shared" ca="1" si="18"/>
        <v>-4.3748215238836879E-4</v>
      </c>
      <c r="L58" s="21">
        <f t="shared" ca="1" si="14"/>
        <v>4.2952576603592262E-7</v>
      </c>
      <c r="M58" s="21">
        <f t="shared" ca="1" si="19"/>
        <v>14696.450595087623</v>
      </c>
      <c r="N58" s="21">
        <f t="shared" ca="1" si="20"/>
        <v>10285.003665528109</v>
      </c>
      <c r="O58" s="21">
        <f t="shared" ca="1" si="21"/>
        <v>7690.0649041962688</v>
      </c>
      <c r="P58">
        <f t="shared" ca="1" si="15"/>
        <v>6.5538215266813804E-4</v>
      </c>
    </row>
    <row r="59" spans="1:16" x14ac:dyDescent="0.2">
      <c r="A59" s="111">
        <v>78</v>
      </c>
      <c r="B59" s="111">
        <v>1.9042200001422316E-2</v>
      </c>
      <c r="D59" s="112">
        <f t="shared" si="16"/>
        <v>7.7999999999999996E-3</v>
      </c>
      <c r="E59" s="112">
        <f t="shared" si="17"/>
        <v>1.9042200001422316E-2</v>
      </c>
      <c r="F59" s="21">
        <f t="shared" si="9"/>
        <v>6.0839999999999993E-5</v>
      </c>
      <c r="G59" s="21">
        <f t="shared" si="10"/>
        <v>4.7455199999999992E-7</v>
      </c>
      <c r="H59" s="21">
        <f t="shared" si="11"/>
        <v>3.7015055999999994E-9</v>
      </c>
      <c r="I59" s="21">
        <f t="shared" si="12"/>
        <v>1.4852916001109406E-4</v>
      </c>
      <c r="J59" s="21">
        <f t="shared" si="13"/>
        <v>1.1585274480865336E-6</v>
      </c>
      <c r="K59" s="21">
        <f t="shared" ca="1" si="18"/>
        <v>-4.053019943976983E-4</v>
      </c>
      <c r="L59" s="21">
        <f t="shared" ca="1" si="14"/>
        <v>3.7820533387742349E-4</v>
      </c>
      <c r="M59" s="21">
        <f t="shared" ca="1" si="19"/>
        <v>14676.839209621117</v>
      </c>
      <c r="N59" s="21">
        <f t="shared" ca="1" si="20"/>
        <v>10027.495702106295</v>
      </c>
      <c r="O59" s="21">
        <f t="shared" ca="1" si="21"/>
        <v>7912.6075518976277</v>
      </c>
      <c r="P59">
        <f t="shared" ca="1" si="15"/>
        <v>1.9447501995820016E-2</v>
      </c>
    </row>
    <row r="60" spans="1:16" x14ac:dyDescent="0.2">
      <c r="A60" s="111">
        <v>140</v>
      </c>
      <c r="B60" s="111">
        <v>7.4860000022454187E-3</v>
      </c>
      <c r="D60" s="112">
        <f t="shared" si="16"/>
        <v>1.4E-2</v>
      </c>
      <c r="E60" s="112">
        <f t="shared" si="17"/>
        <v>7.4860000022454187E-3</v>
      </c>
      <c r="F60" s="21">
        <f t="shared" si="9"/>
        <v>1.9600000000000002E-4</v>
      </c>
      <c r="G60" s="21">
        <f t="shared" si="10"/>
        <v>2.7440000000000003E-6</v>
      </c>
      <c r="H60" s="21">
        <f t="shared" si="11"/>
        <v>3.8416000000000011E-8</v>
      </c>
      <c r="I60" s="21">
        <f t="shared" si="12"/>
        <v>1.0480400003143587E-4</v>
      </c>
      <c r="J60" s="21">
        <f t="shared" si="13"/>
        <v>1.4672560004401022E-6</v>
      </c>
      <c r="K60" s="21">
        <f t="shared" ca="1" si="18"/>
        <v>-1.2192014933662172E-4</v>
      </c>
      <c r="L60" s="21">
        <f t="shared" ca="1" si="14"/>
        <v>5.788044903284809E-5</v>
      </c>
      <c r="M60" s="21">
        <f t="shared" ca="1" si="19"/>
        <v>14502.939689463941</v>
      </c>
      <c r="N60" s="21">
        <f t="shared" ca="1" si="20"/>
        <v>7903.2353772662918</v>
      </c>
      <c r="O60" s="21">
        <f t="shared" ca="1" si="21"/>
        <v>9997.3636297606063</v>
      </c>
      <c r="P60">
        <f t="shared" ca="1" si="15"/>
        <v>7.6079201515820401E-3</v>
      </c>
    </row>
    <row r="61" spans="1:16" x14ac:dyDescent="0.2">
      <c r="A61" s="111">
        <v>162</v>
      </c>
      <c r="B61" s="111">
        <v>-9.0662000002339482E-3</v>
      </c>
      <c r="D61" s="112">
        <f t="shared" si="16"/>
        <v>1.6199999999999999E-2</v>
      </c>
      <c r="E61" s="112">
        <f t="shared" si="17"/>
        <v>-9.0662000002339482E-3</v>
      </c>
      <c r="F61" s="21">
        <f t="shared" si="9"/>
        <v>2.6243999999999996E-4</v>
      </c>
      <c r="G61" s="21">
        <f t="shared" si="10"/>
        <v>4.2515279999999989E-6</v>
      </c>
      <c r="H61" s="21">
        <f t="shared" si="11"/>
        <v>6.8874753599999974E-8</v>
      </c>
      <c r="I61" s="21">
        <f t="shared" si="12"/>
        <v>-1.4687244000378995E-4</v>
      </c>
      <c r="J61" s="21">
        <f t="shared" si="13"/>
        <v>-2.3793335280613971E-6</v>
      </c>
      <c r="K61" s="21">
        <f t="shared" ca="1" si="18"/>
        <v>-2.2074785969560288E-5</v>
      </c>
      <c r="L61" s="21">
        <f t="shared" ca="1" si="14"/>
        <v>8.179620089129286E-5</v>
      </c>
      <c r="M61" s="21">
        <f t="shared" ca="1" si="19"/>
        <v>14441.150504490406</v>
      </c>
      <c r="N61" s="21">
        <f t="shared" ca="1" si="20"/>
        <v>7215.9579676678959</v>
      </c>
      <c r="O61" s="21">
        <f t="shared" ca="1" si="21"/>
        <v>10784.476813898882</v>
      </c>
      <c r="P61">
        <f t="shared" ca="1" si="15"/>
        <v>-9.0441252142643876E-3</v>
      </c>
    </row>
    <row r="62" spans="1:16" x14ac:dyDescent="0.2">
      <c r="A62" s="111">
        <v>384</v>
      </c>
      <c r="B62" s="111">
        <v>-5.638400005409494E-3</v>
      </c>
      <c r="D62" s="112">
        <f t="shared" si="16"/>
        <v>3.8399999999999997E-2</v>
      </c>
      <c r="E62" s="112">
        <f t="shared" si="17"/>
        <v>-5.638400005409494E-3</v>
      </c>
      <c r="F62" s="21">
        <f t="shared" si="9"/>
        <v>1.4745599999999998E-3</v>
      </c>
      <c r="G62" s="21">
        <f t="shared" si="10"/>
        <v>5.6623103999999987E-5</v>
      </c>
      <c r="H62" s="21">
        <f t="shared" si="11"/>
        <v>2.1743271935999991E-6</v>
      </c>
      <c r="I62" s="21">
        <f t="shared" si="12"/>
        <v>-2.1651456020772456E-4</v>
      </c>
      <c r="J62" s="21">
        <f t="shared" si="13"/>
        <v>-8.3141591119766226E-6</v>
      </c>
      <c r="K62" s="21">
        <f t="shared" ca="1" si="18"/>
        <v>9.6465949923959333E-4</v>
      </c>
      <c r="L62" s="21">
        <f t="shared" ca="1" si="14"/>
        <v>4.3600394821936656E-5</v>
      </c>
      <c r="M62" s="21">
        <f t="shared" ca="1" si="19"/>
        <v>13815.502175168855</v>
      </c>
      <c r="N62" s="21">
        <f t="shared" ca="1" si="20"/>
        <v>2120.8134585168864</v>
      </c>
      <c r="O62" s="21">
        <f t="shared" ca="1" si="21"/>
        <v>19948.354610902341</v>
      </c>
      <c r="P62">
        <f t="shared" ca="1" si="15"/>
        <v>-6.6030595046490878E-3</v>
      </c>
    </row>
    <row r="63" spans="1:16" x14ac:dyDescent="0.2">
      <c r="A63" s="111">
        <v>384</v>
      </c>
      <c r="B63" s="111">
        <v>3.6159999581286684E-4</v>
      </c>
      <c r="D63" s="112">
        <f t="shared" si="16"/>
        <v>3.8399999999999997E-2</v>
      </c>
      <c r="E63" s="112">
        <f t="shared" si="17"/>
        <v>3.6159999581286684E-4</v>
      </c>
      <c r="F63" s="21">
        <f t="shared" si="9"/>
        <v>1.4745599999999998E-3</v>
      </c>
      <c r="G63" s="21">
        <f t="shared" si="10"/>
        <v>5.6623103999999987E-5</v>
      </c>
      <c r="H63" s="21">
        <f t="shared" si="11"/>
        <v>2.1743271935999991E-6</v>
      </c>
      <c r="I63" s="21">
        <f t="shared" si="12"/>
        <v>1.3885439839214085E-5</v>
      </c>
      <c r="J63" s="21">
        <f t="shared" si="13"/>
        <v>5.3320088982582079E-7</v>
      </c>
      <c r="K63" s="21">
        <f t="shared" ca="1" si="18"/>
        <v>9.6465949923959333E-4</v>
      </c>
      <c r="L63" s="21">
        <f t="shared" ca="1" si="14"/>
        <v>3.6368076467328992E-7</v>
      </c>
      <c r="M63" s="21">
        <f t="shared" ca="1" si="19"/>
        <v>13815.502175168855</v>
      </c>
      <c r="N63" s="21">
        <f t="shared" ca="1" si="20"/>
        <v>2120.8134585168864</v>
      </c>
      <c r="O63" s="21">
        <f t="shared" ca="1" si="21"/>
        <v>19948.354610902341</v>
      </c>
      <c r="P63">
        <f t="shared" ca="1" si="15"/>
        <v>-6.0305950342672649E-4</v>
      </c>
    </row>
    <row r="64" spans="1:16" x14ac:dyDescent="0.2">
      <c r="A64" s="111">
        <v>384</v>
      </c>
      <c r="B64" s="111">
        <v>1.1361599994415883E-2</v>
      </c>
      <c r="D64" s="112">
        <f t="shared" si="16"/>
        <v>3.8399999999999997E-2</v>
      </c>
      <c r="E64" s="112">
        <f t="shared" si="17"/>
        <v>1.1361599994415883E-2</v>
      </c>
      <c r="F64" s="21">
        <f t="shared" si="9"/>
        <v>1.4745599999999998E-3</v>
      </c>
      <c r="G64" s="21">
        <f t="shared" si="10"/>
        <v>5.6623103999999987E-5</v>
      </c>
      <c r="H64" s="21">
        <f t="shared" si="11"/>
        <v>2.1743271935999991E-6</v>
      </c>
      <c r="I64" s="21">
        <f t="shared" si="12"/>
        <v>4.3628543978556985E-4</v>
      </c>
      <c r="J64" s="21">
        <f t="shared" si="13"/>
        <v>1.6753360887765879E-5</v>
      </c>
      <c r="K64" s="21">
        <f t="shared" ca="1" si="18"/>
        <v>9.6465949923959333E-4</v>
      </c>
      <c r="L64" s="21">
        <f t="shared" ca="1" si="14"/>
        <v>1.0809637166023658E-4</v>
      </c>
      <c r="M64" s="21">
        <f t="shared" ca="1" si="19"/>
        <v>13815.502175168855</v>
      </c>
      <c r="N64" s="21">
        <f t="shared" ca="1" si="20"/>
        <v>2120.8134585168864</v>
      </c>
      <c r="O64" s="21">
        <f t="shared" ca="1" si="21"/>
        <v>19948.354610902341</v>
      </c>
      <c r="P64">
        <f t="shared" ca="1" si="15"/>
        <v>1.0396940495176289E-2</v>
      </c>
    </row>
    <row r="65" spans="1:16" x14ac:dyDescent="0.2">
      <c r="A65" s="111">
        <v>391</v>
      </c>
      <c r="B65" s="111">
        <v>8.1858999983523972E-3</v>
      </c>
      <c r="D65" s="112">
        <f t="shared" si="16"/>
        <v>3.9100000000000003E-2</v>
      </c>
      <c r="E65" s="112">
        <f t="shared" si="17"/>
        <v>8.1858999983523972E-3</v>
      </c>
      <c r="F65" s="21">
        <f t="shared" si="9"/>
        <v>1.5288100000000002E-3</v>
      </c>
      <c r="G65" s="21">
        <f t="shared" si="10"/>
        <v>5.9776471000000014E-5</v>
      </c>
      <c r="H65" s="21">
        <f t="shared" si="11"/>
        <v>2.3372600161000006E-6</v>
      </c>
      <c r="I65" s="21">
        <f t="shared" si="12"/>
        <v>3.2006868993557873E-4</v>
      </c>
      <c r="J65" s="21">
        <f t="shared" si="13"/>
        <v>1.251468577648113E-5</v>
      </c>
      <c r="K65" s="21">
        <f t="shared" ca="1" si="18"/>
        <v>9.9515731808200191E-4</v>
      </c>
      <c r="L65" s="21">
        <f t="shared" ca="1" si="14"/>
        <v>5.1706780293862275E-5</v>
      </c>
      <c r="M65" s="21">
        <f t="shared" ca="1" si="19"/>
        <v>13795.718345567508</v>
      </c>
      <c r="N65" s="21">
        <f t="shared" ca="1" si="20"/>
        <v>2012.0097830571042</v>
      </c>
      <c r="O65" s="21">
        <f t="shared" ca="1" si="21"/>
        <v>20269.496352875183</v>
      </c>
      <c r="P65">
        <f t="shared" ca="1" si="15"/>
        <v>7.1907426802703955E-3</v>
      </c>
    </row>
    <row r="66" spans="1:16" x14ac:dyDescent="0.2">
      <c r="A66" s="111">
        <v>447</v>
      </c>
      <c r="B66" s="111">
        <v>-3.2197000036831014E-3</v>
      </c>
      <c r="D66" s="112">
        <f t="shared" si="16"/>
        <v>4.4699999999999997E-2</v>
      </c>
      <c r="E66" s="112">
        <f t="shared" si="17"/>
        <v>-3.2197000036831014E-3</v>
      </c>
      <c r="F66" s="21">
        <f t="shared" si="9"/>
        <v>1.9980899999999997E-3</v>
      </c>
      <c r="G66" s="21">
        <f t="shared" si="10"/>
        <v>8.9314622999999983E-5</v>
      </c>
      <c r="H66" s="21">
        <f t="shared" si="11"/>
        <v>3.9923636480999985E-6</v>
      </c>
      <c r="I66" s="21">
        <f t="shared" si="12"/>
        <v>-1.4392059016463463E-4</v>
      </c>
      <c r="J66" s="21">
        <f t="shared" si="13"/>
        <v>-6.4332503803591673E-6</v>
      </c>
      <c r="K66" s="21">
        <f t="shared" ca="1" si="18"/>
        <v>1.2377853976859254E-3</v>
      </c>
      <c r="L66" s="21">
        <f t="shared" ca="1" si="14"/>
        <v>1.9869176103417997E-5</v>
      </c>
      <c r="M66" s="21">
        <f t="shared" ca="1" si="19"/>
        <v>13637.34205102317</v>
      </c>
      <c r="N66" s="21">
        <f t="shared" ca="1" si="20"/>
        <v>1249.3106574335527</v>
      </c>
      <c r="O66" s="21">
        <f t="shared" ca="1" si="21"/>
        <v>22899.872571148251</v>
      </c>
      <c r="P66">
        <f t="shared" ca="1" si="15"/>
        <v>-4.4574854013690272E-3</v>
      </c>
    </row>
    <row r="67" spans="1:16" x14ac:dyDescent="0.2">
      <c r="A67" s="111">
        <v>496</v>
      </c>
      <c r="B67" s="111">
        <v>-3.4496000007493421E-3</v>
      </c>
      <c r="D67" s="112">
        <f t="shared" si="16"/>
        <v>4.9599999999999998E-2</v>
      </c>
      <c r="E67" s="112">
        <f t="shared" si="17"/>
        <v>-3.4496000007493421E-3</v>
      </c>
      <c r="F67" s="21">
        <f t="shared" si="9"/>
        <v>2.4601599999999999E-3</v>
      </c>
      <c r="G67" s="21">
        <f t="shared" si="10"/>
        <v>1.2202393599999999E-4</v>
      </c>
      <c r="H67" s="21">
        <f t="shared" si="11"/>
        <v>6.0523872255999996E-6</v>
      </c>
      <c r="I67" s="21">
        <f t="shared" si="12"/>
        <v>-1.7110016003716737E-4</v>
      </c>
      <c r="J67" s="21">
        <f t="shared" si="13"/>
        <v>-8.4865679378435011E-6</v>
      </c>
      <c r="K67" s="21">
        <f t="shared" ca="1" si="18"/>
        <v>1.4481096969336511E-3</v>
      </c>
      <c r="L67" s="21">
        <f t="shared" ca="1" si="14"/>
        <v>2.3987560282778034E-5</v>
      </c>
      <c r="M67" s="21">
        <f t="shared" ca="1" si="19"/>
        <v>13498.619124650035</v>
      </c>
      <c r="N67" s="21">
        <f t="shared" ca="1" si="20"/>
        <v>735.45662661421443</v>
      </c>
      <c r="O67" s="21">
        <f t="shared" ca="1" si="21"/>
        <v>25285.421571323128</v>
      </c>
      <c r="P67">
        <f t="shared" ca="1" si="15"/>
        <v>-4.8977096976829931E-3</v>
      </c>
    </row>
    <row r="68" spans="1:16" x14ac:dyDescent="0.2">
      <c r="A68" s="111">
        <v>496</v>
      </c>
      <c r="B68" s="111">
        <v>5.5503999974462204E-3</v>
      </c>
      <c r="D68" s="112">
        <f t="shared" si="16"/>
        <v>4.9599999999999998E-2</v>
      </c>
      <c r="E68" s="112">
        <f t="shared" si="17"/>
        <v>5.5503999974462204E-3</v>
      </c>
      <c r="F68" s="21">
        <f t="shared" si="9"/>
        <v>2.4601599999999999E-3</v>
      </c>
      <c r="G68" s="21">
        <f t="shared" si="10"/>
        <v>1.2202393599999999E-4</v>
      </c>
      <c r="H68" s="21">
        <f t="shared" si="11"/>
        <v>6.0523872255999996E-6</v>
      </c>
      <c r="I68" s="21">
        <f t="shared" si="12"/>
        <v>2.7529983987333251E-4</v>
      </c>
      <c r="J68" s="21">
        <f t="shared" si="13"/>
        <v>1.3654872057717291E-5</v>
      </c>
      <c r="K68" s="21">
        <f t="shared" ca="1" si="18"/>
        <v>1.4481096969336511E-3</v>
      </c>
      <c r="L68" s="21">
        <f t="shared" ca="1" si="14"/>
        <v>1.6828785709679507E-5</v>
      </c>
      <c r="M68" s="21">
        <f t="shared" ca="1" si="19"/>
        <v>13498.619124650035</v>
      </c>
      <c r="N68" s="21">
        <f t="shared" ca="1" si="20"/>
        <v>735.45662661421443</v>
      </c>
      <c r="O68" s="21">
        <f t="shared" ca="1" si="21"/>
        <v>25285.421571323128</v>
      </c>
      <c r="P68">
        <f t="shared" ca="1" si="15"/>
        <v>4.1022903005125694E-3</v>
      </c>
    </row>
    <row r="69" spans="1:16" x14ac:dyDescent="0.2">
      <c r="A69" s="111">
        <v>525</v>
      </c>
      <c r="B69" s="111">
        <v>4.8224999991361983E-3</v>
      </c>
      <c r="D69" s="112">
        <f t="shared" si="16"/>
        <v>5.2499999999999998E-2</v>
      </c>
      <c r="E69" s="112">
        <f t="shared" si="17"/>
        <v>4.8224999991361983E-3</v>
      </c>
      <c r="F69" s="21">
        <f t="shared" si="9"/>
        <v>2.7562499999999996E-3</v>
      </c>
      <c r="G69" s="21">
        <f t="shared" si="10"/>
        <v>1.4470312499999997E-4</v>
      </c>
      <c r="H69" s="21">
        <f t="shared" si="11"/>
        <v>7.5969140624999981E-6</v>
      </c>
      <c r="I69" s="21">
        <f t="shared" si="12"/>
        <v>2.531812499546504E-4</v>
      </c>
      <c r="J69" s="21">
        <f t="shared" si="13"/>
        <v>1.3292015622619146E-5</v>
      </c>
      <c r="K69" s="21">
        <f t="shared" ca="1" si="18"/>
        <v>1.5717189155053934E-3</v>
      </c>
      <c r="L69" s="21">
        <f t="shared" ca="1" si="14"/>
        <v>1.056757765369187E-5</v>
      </c>
      <c r="M69" s="21">
        <f t="shared" ca="1" si="19"/>
        <v>13416.46013950158</v>
      </c>
      <c r="N69" s="21">
        <f t="shared" ca="1" si="20"/>
        <v>496.95005318852367</v>
      </c>
      <c r="O69" s="21">
        <f t="shared" ca="1" si="21"/>
        <v>26731.42074725245</v>
      </c>
      <c r="P69">
        <f t="shared" ca="1" si="15"/>
        <v>3.2507810836308049E-3</v>
      </c>
    </row>
    <row r="70" spans="1:16" x14ac:dyDescent="0.2">
      <c r="A70" s="111">
        <v>528.5</v>
      </c>
      <c r="B70" s="111">
        <v>5.2346500015119091E-3</v>
      </c>
      <c r="D70" s="112">
        <f t="shared" si="16"/>
        <v>5.2850000000000001E-2</v>
      </c>
      <c r="E70" s="112">
        <f t="shared" si="17"/>
        <v>5.2346500015119091E-3</v>
      </c>
      <c r="F70" s="21">
        <f t="shared" si="9"/>
        <v>2.7931225E-3</v>
      </c>
      <c r="G70" s="21">
        <f t="shared" si="10"/>
        <v>1.4761652412500001E-4</v>
      </c>
      <c r="H70" s="21">
        <f t="shared" si="11"/>
        <v>7.801533300006251E-6</v>
      </c>
      <c r="I70" s="21">
        <f t="shared" si="12"/>
        <v>2.7665125257990441E-4</v>
      </c>
      <c r="J70" s="21">
        <f t="shared" si="13"/>
        <v>1.4621018698847949E-5</v>
      </c>
      <c r="K70" s="21">
        <f t="shared" ca="1" si="18"/>
        <v>1.5865935985266049E-3</v>
      </c>
      <c r="L70" s="21">
        <f t="shared" ca="1" si="14"/>
        <v>1.3308315519362075E-5</v>
      </c>
      <c r="M70" s="21">
        <f t="shared" ca="1" si="19"/>
        <v>13406.541669285987</v>
      </c>
      <c r="N70" s="21">
        <f t="shared" ca="1" si="20"/>
        <v>471.40716342804609</v>
      </c>
      <c r="O70" s="21">
        <f t="shared" ca="1" si="21"/>
        <v>26907.571127732448</v>
      </c>
      <c r="P70">
        <f t="shared" ca="1" si="15"/>
        <v>3.6480564029853042E-3</v>
      </c>
    </row>
    <row r="71" spans="1:16" x14ac:dyDescent="0.2">
      <c r="A71" s="111">
        <v>560</v>
      </c>
      <c r="B71" s="111">
        <v>9.943999997631181E-3</v>
      </c>
      <c r="D71" s="112">
        <f t="shared" si="16"/>
        <v>5.6000000000000001E-2</v>
      </c>
      <c r="E71" s="112">
        <f t="shared" si="17"/>
        <v>9.943999997631181E-3</v>
      </c>
      <c r="F71" s="21">
        <f t="shared" si="9"/>
        <v>3.1360000000000003E-3</v>
      </c>
      <c r="G71" s="21">
        <f t="shared" si="10"/>
        <v>1.7561600000000002E-4</v>
      </c>
      <c r="H71" s="21">
        <f t="shared" si="11"/>
        <v>9.8344960000000029E-6</v>
      </c>
      <c r="I71" s="21">
        <f t="shared" si="12"/>
        <v>5.5686399986734614E-4</v>
      </c>
      <c r="J71" s="21">
        <f t="shared" si="13"/>
        <v>3.1184383992571388E-5</v>
      </c>
      <c r="K71" s="21">
        <f t="shared" ca="1" si="18"/>
        <v>1.7200424734877117E-3</v>
      </c>
      <c r="L71" s="21">
        <f t="shared" ca="1" si="14"/>
        <v>6.7633477358915967E-5</v>
      </c>
      <c r="M71" s="21">
        <f t="shared" ca="1" si="19"/>
        <v>13317.250262062005</v>
      </c>
      <c r="N71" s="21">
        <f t="shared" ca="1" si="20"/>
        <v>272.51605772202254</v>
      </c>
      <c r="O71" s="21">
        <f t="shared" ca="1" si="21"/>
        <v>28508.123679865163</v>
      </c>
      <c r="P71">
        <f t="shared" ca="1" si="15"/>
        <v>8.2239575241434687E-3</v>
      </c>
    </row>
    <row r="72" spans="1:16" x14ac:dyDescent="0.2">
      <c r="A72" s="111">
        <v>581</v>
      </c>
      <c r="B72" s="111">
        <v>1.3416900001175236E-2</v>
      </c>
      <c r="D72" s="112">
        <f t="shared" si="16"/>
        <v>5.8099999999999999E-2</v>
      </c>
      <c r="E72" s="112">
        <f t="shared" si="17"/>
        <v>1.3416900001175236E-2</v>
      </c>
      <c r="F72" s="21">
        <f t="shared" si="9"/>
        <v>3.3756099999999998E-3</v>
      </c>
      <c r="G72" s="21">
        <f t="shared" si="10"/>
        <v>1.96122941E-4</v>
      </c>
      <c r="H72" s="21">
        <f t="shared" si="11"/>
        <v>1.1394742872099999E-5</v>
      </c>
      <c r="I72" s="21">
        <f t="shared" si="12"/>
        <v>7.7952189006828116E-4</v>
      </c>
      <c r="J72" s="21">
        <f t="shared" si="13"/>
        <v>4.5290221812967132E-5</v>
      </c>
      <c r="K72" s="21">
        <f t="shared" ca="1" si="18"/>
        <v>1.808585117898655E-3</v>
      </c>
      <c r="L72" s="21">
        <f t="shared" ca="1" si="14"/>
        <v>1.347529744293006E-4</v>
      </c>
      <c r="M72" s="21">
        <f t="shared" ca="1" si="19"/>
        <v>13257.698614353638</v>
      </c>
      <c r="N72" s="21">
        <f t="shared" ca="1" si="20"/>
        <v>170.54128114721883</v>
      </c>
      <c r="O72" s="21">
        <f t="shared" ca="1" si="21"/>
        <v>29589.810401871029</v>
      </c>
      <c r="P72">
        <f t="shared" ca="1" si="15"/>
        <v>1.1608314883276582E-2</v>
      </c>
    </row>
    <row r="73" spans="1:16" x14ac:dyDescent="0.2">
      <c r="A73" s="111">
        <v>588</v>
      </c>
      <c r="B73" s="111">
        <v>3.2412000000476837E-3</v>
      </c>
      <c r="D73" s="112">
        <f t="shared" si="16"/>
        <v>5.8799999999999998E-2</v>
      </c>
      <c r="E73" s="112">
        <f t="shared" si="17"/>
        <v>3.2412000000476837E-3</v>
      </c>
      <c r="F73" s="21">
        <f t="shared" si="9"/>
        <v>3.45744E-3</v>
      </c>
      <c r="G73" s="21">
        <f t="shared" si="10"/>
        <v>2.03297472E-4</v>
      </c>
      <c r="H73" s="21">
        <f t="shared" si="11"/>
        <v>1.19538913536E-5</v>
      </c>
      <c r="I73" s="21">
        <f t="shared" si="12"/>
        <v>1.905825600028038E-4</v>
      </c>
      <c r="J73" s="21">
        <f t="shared" si="13"/>
        <v>1.1206254528164862E-5</v>
      </c>
      <c r="K73" s="21">
        <f t="shared" ca="1" si="18"/>
        <v>1.8380240843058949E-3</v>
      </c>
      <c r="L73" s="21">
        <f t="shared" ca="1" si="14"/>
        <v>1.9689026505178077E-6</v>
      </c>
      <c r="M73" s="21">
        <f t="shared" ca="1" si="19"/>
        <v>13237.844005132232</v>
      </c>
      <c r="N73" s="21">
        <f t="shared" ca="1" si="20"/>
        <v>141.92242033814441</v>
      </c>
      <c r="O73" s="21">
        <f t="shared" ca="1" si="21"/>
        <v>29952.874603367276</v>
      </c>
      <c r="P73">
        <f t="shared" ca="1" si="15"/>
        <v>1.4031759157417888E-3</v>
      </c>
    </row>
    <row r="74" spans="1:16" x14ac:dyDescent="0.2">
      <c r="A74" s="111">
        <v>595</v>
      </c>
      <c r="B74" s="111">
        <v>-6.9345000083558261E-3</v>
      </c>
      <c r="D74" s="112">
        <f t="shared" si="16"/>
        <v>5.9499999999999997E-2</v>
      </c>
      <c r="E74" s="112">
        <f t="shared" si="17"/>
        <v>-6.9345000083558261E-3</v>
      </c>
      <c r="F74" s="21">
        <f t="shared" si="9"/>
        <v>3.5402499999999996E-3</v>
      </c>
      <c r="G74" s="21">
        <f t="shared" si="10"/>
        <v>2.1064487499999996E-4</v>
      </c>
      <c r="H74" s="21">
        <f t="shared" si="11"/>
        <v>1.2533370062499997E-5</v>
      </c>
      <c r="I74" s="21">
        <f t="shared" si="12"/>
        <v>-4.1260275049717166E-4</v>
      </c>
      <c r="J74" s="21">
        <f t="shared" si="13"/>
        <v>-2.4549863654581711E-5</v>
      </c>
      <c r="K74" s="21">
        <f t="shared" ca="1" si="18"/>
        <v>1.8674254265149308E-3</v>
      </c>
      <c r="L74" s="21">
        <f t="shared" ca="1" si="14"/>
        <v>7.7473891361024754E-5</v>
      </c>
      <c r="M74" s="21">
        <f t="shared" ca="1" si="19"/>
        <v>13217.987429077031</v>
      </c>
      <c r="N74" s="21">
        <f t="shared" ca="1" si="20"/>
        <v>115.96920898571936</v>
      </c>
      <c r="O74" s="21">
        <f t="shared" ca="1" si="21"/>
        <v>30317.15974787809</v>
      </c>
      <c r="P74">
        <f t="shared" ca="1" si="15"/>
        <v>-8.8019254348707561E-3</v>
      </c>
    </row>
    <row r="75" spans="1:16" x14ac:dyDescent="0.2">
      <c r="A75" s="111">
        <v>595</v>
      </c>
      <c r="B75" s="111">
        <v>1.4065499992284458E-2</v>
      </c>
      <c r="D75" s="112">
        <f t="shared" si="16"/>
        <v>5.9499999999999997E-2</v>
      </c>
      <c r="E75" s="112">
        <f t="shared" si="17"/>
        <v>1.4065499992284458E-2</v>
      </c>
      <c r="F75" s="21">
        <f t="shared" si="9"/>
        <v>3.5402499999999996E-3</v>
      </c>
      <c r="G75" s="21">
        <f t="shared" si="10"/>
        <v>2.1064487499999996E-4</v>
      </c>
      <c r="H75" s="21">
        <f t="shared" si="11"/>
        <v>1.2533370062499997E-5</v>
      </c>
      <c r="I75" s="21">
        <f t="shared" si="12"/>
        <v>8.3689724954092522E-4</v>
      </c>
      <c r="J75" s="21">
        <f t="shared" si="13"/>
        <v>4.9795386347685045E-5</v>
      </c>
      <c r="K75" s="21">
        <f t="shared" ca="1" si="18"/>
        <v>1.8674254265149308E-3</v>
      </c>
      <c r="L75" s="21">
        <f t="shared" ca="1" si="14"/>
        <v>1.4879302311207346E-4</v>
      </c>
      <c r="M75" s="21">
        <f t="shared" ca="1" si="19"/>
        <v>13217.987429077031</v>
      </c>
      <c r="N75" s="21">
        <f t="shared" ca="1" si="20"/>
        <v>115.96920898571936</v>
      </c>
      <c r="O75" s="21">
        <f t="shared" ca="1" si="21"/>
        <v>30317.15974787809</v>
      </c>
      <c r="P75">
        <f t="shared" ca="1" si="15"/>
        <v>1.2198074565769528E-2</v>
      </c>
    </row>
    <row r="76" spans="1:16" x14ac:dyDescent="0.2">
      <c r="A76" s="111">
        <v>769</v>
      </c>
      <c r="B76" s="111">
        <v>1.1698099995555822E-2</v>
      </c>
      <c r="D76" s="112">
        <f t="shared" si="16"/>
        <v>7.6899999999999996E-2</v>
      </c>
      <c r="E76" s="112">
        <f t="shared" si="17"/>
        <v>1.1698099995555822E-2</v>
      </c>
      <c r="F76" s="21">
        <f t="shared" si="9"/>
        <v>5.9136099999999997E-3</v>
      </c>
      <c r="G76" s="21">
        <f t="shared" si="10"/>
        <v>4.5475660899999996E-4</v>
      </c>
      <c r="H76" s="21">
        <f t="shared" si="11"/>
        <v>3.4970783232099998E-5</v>
      </c>
      <c r="I76" s="21">
        <f t="shared" si="12"/>
        <v>8.9958388965824261E-4</v>
      </c>
      <c r="J76" s="21">
        <f t="shared" si="13"/>
        <v>6.9178001114718853E-5</v>
      </c>
      <c r="K76" s="21">
        <f t="shared" ca="1" si="18"/>
        <v>2.5861676012391807E-3</v>
      </c>
      <c r="L76" s="21">
        <f t="shared" ca="1" si="14"/>
        <v>8.3027311958597006E-5</v>
      </c>
      <c r="M76" s="21">
        <f t="shared" ca="1" si="19"/>
        <v>12723.887321672859</v>
      </c>
      <c r="N76" s="21">
        <f t="shared" ca="1" si="20"/>
        <v>292.15918693496417</v>
      </c>
      <c r="O76" s="21">
        <f t="shared" ca="1" si="21"/>
        <v>39713.815639898567</v>
      </c>
      <c r="P76">
        <f t="shared" ca="1" si="15"/>
        <v>9.1119323943166415E-3</v>
      </c>
    </row>
    <row r="77" spans="1:16" x14ac:dyDescent="0.2">
      <c r="A77" s="111">
        <v>797</v>
      </c>
      <c r="B77" s="111">
        <v>-1.2004700001853053E-2</v>
      </c>
      <c r="D77" s="112">
        <f t="shared" si="16"/>
        <v>7.9699999999999993E-2</v>
      </c>
      <c r="E77" s="112">
        <f t="shared" si="17"/>
        <v>-1.2004700001853053E-2</v>
      </c>
      <c r="F77" s="21">
        <f t="shared" si="9"/>
        <v>6.3520899999999986E-3</v>
      </c>
      <c r="G77" s="21">
        <f t="shared" si="10"/>
        <v>5.0626157299999981E-4</v>
      </c>
      <c r="H77" s="21">
        <f t="shared" si="11"/>
        <v>4.0349047368099985E-5</v>
      </c>
      <c r="I77" s="21">
        <f t="shared" si="12"/>
        <v>-9.5677459014768818E-4</v>
      </c>
      <c r="J77" s="21">
        <f t="shared" si="13"/>
        <v>-7.6254934834770743E-5</v>
      </c>
      <c r="K77" s="21">
        <f t="shared" ca="1" si="18"/>
        <v>2.699655807814721E-3</v>
      </c>
      <c r="L77" s="21">
        <f t="shared" ca="1" si="14"/>
        <v>2.1621807977731036E-4</v>
      </c>
      <c r="M77" s="21">
        <f t="shared" ca="1" si="19"/>
        <v>12644.305196699759</v>
      </c>
      <c r="N77" s="21">
        <f t="shared" ca="1" si="20"/>
        <v>461.04203148730238</v>
      </c>
      <c r="O77" s="21">
        <f t="shared" ca="1" si="21"/>
        <v>41277.336547830375</v>
      </c>
      <c r="P77">
        <f t="shared" ca="1" si="15"/>
        <v>-1.4704355809667773E-2</v>
      </c>
    </row>
    <row r="78" spans="1:16" x14ac:dyDescent="0.2">
      <c r="A78" s="111">
        <v>797</v>
      </c>
      <c r="B78" s="111">
        <v>-1.0047000032500364E-3</v>
      </c>
      <c r="D78" s="112">
        <f t="shared" si="16"/>
        <v>7.9699999999999993E-2</v>
      </c>
      <c r="E78" s="112">
        <f t="shared" si="17"/>
        <v>-1.0047000032500364E-3</v>
      </c>
      <c r="F78" s="21">
        <f t="shared" si="9"/>
        <v>6.3520899999999986E-3</v>
      </c>
      <c r="G78" s="21">
        <f t="shared" si="10"/>
        <v>5.0626157299999981E-4</v>
      </c>
      <c r="H78" s="21">
        <f t="shared" si="11"/>
        <v>4.0349047368099985E-5</v>
      </c>
      <c r="I78" s="21">
        <f t="shared" si="12"/>
        <v>-8.00745902590279E-5</v>
      </c>
      <c r="J78" s="21">
        <f t="shared" si="13"/>
        <v>-6.3819448436445234E-6</v>
      </c>
      <c r="K78" s="21">
        <f t="shared" ca="1" si="18"/>
        <v>2.699655807814721E-3</v>
      </c>
      <c r="L78" s="21">
        <f t="shared" ca="1" si="14"/>
        <v>1.3722251974969236E-5</v>
      </c>
      <c r="M78" s="21">
        <f t="shared" ca="1" si="19"/>
        <v>12644.305196699759</v>
      </c>
      <c r="N78" s="21">
        <f t="shared" ca="1" si="20"/>
        <v>461.04203148730238</v>
      </c>
      <c r="O78" s="21">
        <f t="shared" ca="1" si="21"/>
        <v>41277.336547830375</v>
      </c>
      <c r="P78">
        <f t="shared" ca="1" si="15"/>
        <v>-3.7043558110647573E-3</v>
      </c>
    </row>
    <row r="79" spans="1:16" x14ac:dyDescent="0.2">
      <c r="A79" s="111">
        <v>861</v>
      </c>
      <c r="B79" s="111">
        <v>1.8388900003628805E-2</v>
      </c>
      <c r="D79" s="112">
        <f t="shared" si="16"/>
        <v>8.6099999999999996E-2</v>
      </c>
      <c r="E79" s="112">
        <f t="shared" si="17"/>
        <v>1.8388900003628805E-2</v>
      </c>
      <c r="F79" s="21">
        <f t="shared" si="9"/>
        <v>7.4132099999999991E-3</v>
      </c>
      <c r="G79" s="21">
        <f t="shared" si="10"/>
        <v>6.3827738099999992E-4</v>
      </c>
      <c r="H79" s="21">
        <f t="shared" si="11"/>
        <v>5.4955682504099987E-5</v>
      </c>
      <c r="I79" s="21">
        <f t="shared" si="12"/>
        <v>1.58328429031244E-3</v>
      </c>
      <c r="J79" s="21">
        <f t="shared" si="13"/>
        <v>1.3632077739590107E-4</v>
      </c>
      <c r="K79" s="21">
        <f t="shared" ca="1" si="18"/>
        <v>2.9567968995891721E-3</v>
      </c>
      <c r="L79" s="21">
        <f t="shared" ca="1" si="14"/>
        <v>2.381498062137097E-4</v>
      </c>
      <c r="M79" s="21">
        <f t="shared" ca="1" si="19"/>
        <v>12462.357940818891</v>
      </c>
      <c r="N79" s="21">
        <f t="shared" ca="1" si="20"/>
        <v>984.26663781668083</v>
      </c>
      <c r="O79" s="21">
        <f t="shared" ca="1" si="21"/>
        <v>44891.83258414179</v>
      </c>
      <c r="P79">
        <f t="shared" ca="1" si="15"/>
        <v>1.5432103104039634E-2</v>
      </c>
    </row>
    <row r="80" spans="1:16" x14ac:dyDescent="0.2">
      <c r="A80" s="111">
        <v>868</v>
      </c>
      <c r="B80" s="111">
        <v>6.2131999948178418E-3</v>
      </c>
      <c r="D80" s="112">
        <f t="shared" si="16"/>
        <v>8.6800000000000002E-2</v>
      </c>
      <c r="E80" s="112">
        <f t="shared" si="17"/>
        <v>6.2131999948178418E-3</v>
      </c>
      <c r="F80" s="21">
        <f t="shared" si="9"/>
        <v>7.5342400000000002E-3</v>
      </c>
      <c r="G80" s="21">
        <f t="shared" si="10"/>
        <v>6.5397203200000004E-4</v>
      </c>
      <c r="H80" s="21">
        <f t="shared" si="11"/>
        <v>5.6764772377600002E-5</v>
      </c>
      <c r="I80" s="21">
        <f t="shared" si="12"/>
        <v>5.3930575955018871E-4</v>
      </c>
      <c r="J80" s="21">
        <f t="shared" si="13"/>
        <v>4.6811739928956379E-5</v>
      </c>
      <c r="K80" s="21">
        <f t="shared" ca="1" si="18"/>
        <v>2.9847308980682544E-3</v>
      </c>
      <c r="L80" s="21">
        <f t="shared" ca="1" si="14"/>
        <v>1.0423012708667096E-5</v>
      </c>
      <c r="M80" s="21">
        <f t="shared" ca="1" si="19"/>
        <v>12442.454572404551</v>
      </c>
      <c r="N80" s="21">
        <f t="shared" ca="1" si="20"/>
        <v>1052.7948602761721</v>
      </c>
      <c r="O80" s="21">
        <f t="shared" ca="1" si="21"/>
        <v>45290.215954744875</v>
      </c>
      <c r="P80">
        <f t="shared" ca="1" si="15"/>
        <v>3.2284690967495874E-3</v>
      </c>
    </row>
    <row r="81" spans="1:16" x14ac:dyDescent="0.2">
      <c r="A81" s="111">
        <v>889</v>
      </c>
      <c r="B81" s="111">
        <v>6.8610000016633421E-4</v>
      </c>
      <c r="D81" s="112">
        <f t="shared" si="16"/>
        <v>8.8900000000000007E-2</v>
      </c>
      <c r="E81" s="112">
        <f t="shared" si="17"/>
        <v>6.8610000016633421E-4</v>
      </c>
      <c r="F81" s="21">
        <f t="shared" si="9"/>
        <v>7.9032100000000008E-3</v>
      </c>
      <c r="G81" s="21">
        <f t="shared" si="10"/>
        <v>7.0259536900000013E-4</v>
      </c>
      <c r="H81" s="21">
        <f t="shared" si="11"/>
        <v>6.2460728304100007E-5</v>
      </c>
      <c r="I81" s="21">
        <f t="shared" si="12"/>
        <v>6.0994290014787114E-5</v>
      </c>
      <c r="J81" s="21">
        <f t="shared" si="13"/>
        <v>5.422392382314575E-6</v>
      </c>
      <c r="K81" s="21">
        <f t="shared" ca="1" si="18"/>
        <v>3.0683071483162765E-3</v>
      </c>
      <c r="L81" s="21">
        <f t="shared" ca="1" si="14"/>
        <v>5.6749108966966814E-6</v>
      </c>
      <c r="M81" s="21">
        <f t="shared" ca="1" si="19"/>
        <v>12382.742080283686</v>
      </c>
      <c r="N81" s="21">
        <f t="shared" ca="1" si="20"/>
        <v>1271.4424942252956</v>
      </c>
      <c r="O81" s="21">
        <f t="shared" ca="1" si="21"/>
        <v>46488.548214982839</v>
      </c>
      <c r="P81">
        <f t="shared" ca="1" si="15"/>
        <v>-2.3822071481499423E-3</v>
      </c>
    </row>
    <row r="82" spans="1:16" x14ac:dyDescent="0.2">
      <c r="A82" s="111">
        <v>889</v>
      </c>
      <c r="B82" s="111">
        <v>5.6860999975469895E-3</v>
      </c>
      <c r="D82" s="112">
        <f t="shared" si="16"/>
        <v>8.8900000000000007E-2</v>
      </c>
      <c r="E82" s="112">
        <f t="shared" si="17"/>
        <v>5.6860999975469895E-3</v>
      </c>
      <c r="F82" s="21">
        <f t="shared" si="9"/>
        <v>7.9032100000000008E-3</v>
      </c>
      <c r="G82" s="21">
        <f t="shared" si="10"/>
        <v>7.0259536900000013E-4</v>
      </c>
      <c r="H82" s="21">
        <f t="shared" si="11"/>
        <v>6.2460728304100007E-5</v>
      </c>
      <c r="I82" s="21">
        <f t="shared" si="12"/>
        <v>5.054942897819274E-4</v>
      </c>
      <c r="J82" s="21">
        <f t="shared" si="13"/>
        <v>4.4938442361613352E-5</v>
      </c>
      <c r="K82" s="21">
        <f t="shared" ca="1" si="18"/>
        <v>3.0683071483162765E-3</v>
      </c>
      <c r="L82" s="21">
        <f t="shared" ca="1" si="14"/>
        <v>6.8528394014834542E-6</v>
      </c>
      <c r="M82" s="21">
        <f t="shared" ca="1" si="19"/>
        <v>12382.742080283686</v>
      </c>
      <c r="N82" s="21">
        <f t="shared" ca="1" si="20"/>
        <v>1271.4424942252956</v>
      </c>
      <c r="O82" s="21">
        <f t="shared" ca="1" si="21"/>
        <v>46488.548214982839</v>
      </c>
      <c r="P82">
        <f t="shared" ca="1" si="15"/>
        <v>2.617792849230713E-3</v>
      </c>
    </row>
    <row r="83" spans="1:16" x14ac:dyDescent="0.2">
      <c r="A83" s="111">
        <v>924</v>
      </c>
      <c r="B83" s="111">
        <v>1.8075999978464097E-3</v>
      </c>
      <c r="D83" s="112">
        <f t="shared" si="16"/>
        <v>9.2399999999999996E-2</v>
      </c>
      <c r="E83" s="112">
        <f t="shared" si="17"/>
        <v>1.8075999978464097E-3</v>
      </c>
      <c r="F83" s="21">
        <f t="shared" si="9"/>
        <v>8.5377599999999984E-3</v>
      </c>
      <c r="G83" s="21">
        <f t="shared" si="10"/>
        <v>7.8888902399999977E-4</v>
      </c>
      <c r="H83" s="21">
        <f t="shared" si="11"/>
        <v>7.2893345817599974E-5</v>
      </c>
      <c r="I83" s="21">
        <f t="shared" si="12"/>
        <v>1.6702223980100825E-4</v>
      </c>
      <c r="J83" s="21">
        <f t="shared" si="13"/>
        <v>1.5432854957613163E-5</v>
      </c>
      <c r="K83" s="21">
        <f t="shared" ca="1" si="18"/>
        <v>3.2068484147655674E-3</v>
      </c>
      <c r="L83" s="21">
        <f t="shared" ca="1" si="14"/>
        <v>1.9578961322507691E-6</v>
      </c>
      <c r="M83" s="21">
        <f t="shared" ca="1" si="19"/>
        <v>12283.215661585573</v>
      </c>
      <c r="N83" s="21">
        <f t="shared" ca="1" si="20"/>
        <v>1678.7037454559563</v>
      </c>
      <c r="O83" s="21">
        <f t="shared" ca="1" si="21"/>
        <v>48495.421763593993</v>
      </c>
      <c r="P83">
        <f t="shared" ca="1" si="15"/>
        <v>-1.3992484169191577E-3</v>
      </c>
    </row>
    <row r="84" spans="1:16" x14ac:dyDescent="0.2">
      <c r="A84" s="111">
        <v>987</v>
      </c>
      <c r="B84" s="111">
        <v>-9.773700003279373E-3</v>
      </c>
      <c r="D84" s="112">
        <f t="shared" si="16"/>
        <v>9.8699999999999996E-2</v>
      </c>
      <c r="E84" s="112">
        <f t="shared" si="17"/>
        <v>-9.773700003279373E-3</v>
      </c>
      <c r="F84" s="21">
        <f t="shared" si="9"/>
        <v>9.741689999999999E-3</v>
      </c>
      <c r="G84" s="21">
        <f t="shared" si="10"/>
        <v>9.615048029999999E-4</v>
      </c>
      <c r="H84" s="21">
        <f t="shared" si="11"/>
        <v>9.4900524056099978E-5</v>
      </c>
      <c r="I84" s="21">
        <f t="shared" si="12"/>
        <v>-9.6466419032367409E-4</v>
      </c>
      <c r="J84" s="21">
        <f t="shared" si="13"/>
        <v>-9.5212355584946629E-5</v>
      </c>
      <c r="K84" s="21">
        <f t="shared" ca="1" si="18"/>
        <v>3.453852369887443E-3</v>
      </c>
      <c r="L84" s="21">
        <f t="shared" ca="1" si="14"/>
        <v>1.749681417848711E-4</v>
      </c>
      <c r="M84" s="21">
        <f t="shared" ca="1" si="19"/>
        <v>12104.064553084012</v>
      </c>
      <c r="N84" s="21">
        <f t="shared" ca="1" si="20"/>
        <v>2542.64487909022</v>
      </c>
      <c r="O84" s="21">
        <f t="shared" ca="1" si="21"/>
        <v>52132.603241248245</v>
      </c>
      <c r="P84">
        <f t="shared" ca="1" si="15"/>
        <v>-1.3227552373166817E-2</v>
      </c>
    </row>
    <row r="85" spans="1:16" x14ac:dyDescent="0.2">
      <c r="A85" s="111">
        <v>1238</v>
      </c>
      <c r="B85" s="111">
        <v>-3.0737999986740761E-3</v>
      </c>
      <c r="D85" s="112">
        <f t="shared" ref="D85:D116" si="22">A85/A$18</f>
        <v>0.12379999999999999</v>
      </c>
      <c r="E85" s="112">
        <f t="shared" ref="E85:E116" si="23">B85/B$18</f>
        <v>-3.0737999986740761E-3</v>
      </c>
      <c r="F85" s="21">
        <f t="shared" si="9"/>
        <v>1.5326439999999998E-2</v>
      </c>
      <c r="G85" s="21">
        <f t="shared" si="10"/>
        <v>1.8974132719999997E-3</v>
      </c>
      <c r="H85" s="21">
        <f t="shared" si="11"/>
        <v>2.3489976307359994E-4</v>
      </c>
      <c r="I85" s="21">
        <f t="shared" si="12"/>
        <v>-3.8053643983585058E-4</v>
      </c>
      <c r="J85" s="21">
        <f t="shared" si="13"/>
        <v>-4.7110411251678302E-5</v>
      </c>
      <c r="K85" s="21">
        <f t="shared" ref="K85:K116" ca="1" si="24">+E$4+E$5*D85+E$6*D85^2</f>
        <v>4.4076891910700463E-3</v>
      </c>
      <c r="L85" s="21">
        <f t="shared" ca="1" si="14"/>
        <v>5.5972680496258164E-5</v>
      </c>
      <c r="M85" s="21">
        <f t="shared" ref="M85:M116" ca="1" si="25">(M$1-M$2*D85+M$3*F85)^2</f>
        <v>11390.791241237672</v>
      </c>
      <c r="N85" s="21">
        <f t="shared" ref="N85:N116" ca="1" si="26">(-M$2+M$4*D85-M$5*F85)^2</f>
        <v>7505.2104423929959</v>
      </c>
      <c r="O85" s="21">
        <f t="shared" ref="O85:O116" ca="1" si="27">+(M$3-D85*M$5+F85*M$6)^2</f>
        <v>66739.322485620563</v>
      </c>
      <c r="P85">
        <f t="shared" ca="1" si="15"/>
        <v>-7.4814891897441223E-3</v>
      </c>
    </row>
    <row r="86" spans="1:16" x14ac:dyDescent="0.2">
      <c r="A86" s="111">
        <v>1252</v>
      </c>
      <c r="B86" s="111">
        <v>6.5747999979066662E-3</v>
      </c>
      <c r="D86" s="112">
        <f t="shared" si="22"/>
        <v>0.12520000000000001</v>
      </c>
      <c r="E86" s="112">
        <f t="shared" si="23"/>
        <v>6.5747999979066662E-3</v>
      </c>
      <c r="F86" s="21">
        <f t="shared" ref="F86:F123" si="28">D86*D86</f>
        <v>1.5675040000000001E-2</v>
      </c>
      <c r="G86" s="21">
        <f t="shared" ref="G86:G123" si="29">D86*F86</f>
        <v>1.9625150080000001E-3</v>
      </c>
      <c r="H86" s="21">
        <f t="shared" ref="H86:H123" si="30">F86*F86</f>
        <v>2.4570687900160002E-4</v>
      </c>
      <c r="I86" s="21">
        <f t="shared" ref="I86:I123" si="31">E86*D86</f>
        <v>8.2316495973791461E-4</v>
      </c>
      <c r="J86" s="21">
        <f t="shared" ref="J86:J123" si="32">I86*D86</f>
        <v>1.0306025295918691E-4</v>
      </c>
      <c r="K86" s="21">
        <f t="shared" ca="1" si="24"/>
        <v>4.4594669001948957E-3</v>
      </c>
      <c r="L86" s="21">
        <f t="shared" ref="L86:L123" ca="1" si="33">+(K86-E86)^2</f>
        <v>4.4746341142748751E-6</v>
      </c>
      <c r="M86" s="21">
        <f t="shared" ca="1" si="25"/>
        <v>11351.053837874078</v>
      </c>
      <c r="N86" s="21">
        <f t="shared" ca="1" si="26"/>
        <v>7847.0908482429704</v>
      </c>
      <c r="O86" s="21">
        <f t="shared" ca="1" si="27"/>
        <v>67550.970213362758</v>
      </c>
      <c r="P86">
        <f t="shared" ref="P86:P123" ca="1" si="34">+E86-K86</f>
        <v>2.1153330977117706E-3</v>
      </c>
    </row>
    <row r="87" spans="1:16" x14ac:dyDescent="0.2">
      <c r="A87" s="111">
        <v>1280</v>
      </c>
      <c r="B87" s="111">
        <v>1.2871999999333639E-2</v>
      </c>
      <c r="D87" s="112">
        <f t="shared" si="22"/>
        <v>0.128</v>
      </c>
      <c r="E87" s="112">
        <f t="shared" si="23"/>
        <v>1.2871999999333639E-2</v>
      </c>
      <c r="F87" s="21">
        <f t="shared" si="28"/>
        <v>1.6383999999999999E-2</v>
      </c>
      <c r="G87" s="21">
        <f t="shared" si="29"/>
        <v>2.0971520000000001E-3</v>
      </c>
      <c r="H87" s="21">
        <f t="shared" si="30"/>
        <v>2.6843545599999999E-4</v>
      </c>
      <c r="I87" s="21">
        <f t="shared" si="31"/>
        <v>1.6476159999147058E-3</v>
      </c>
      <c r="J87" s="21">
        <f t="shared" si="32"/>
        <v>2.1089484798908235E-4</v>
      </c>
      <c r="K87" s="21">
        <f t="shared" ca="1" si="24"/>
        <v>4.5625708280661462E-3</v>
      </c>
      <c r="L87" s="21">
        <f t="shared" ca="1" si="33"/>
        <v>6.904661315231118E-5</v>
      </c>
      <c r="M87" s="21">
        <f t="shared" ca="1" si="25"/>
        <v>11271.600668131559</v>
      </c>
      <c r="N87" s="21">
        <f t="shared" ca="1" si="26"/>
        <v>8549.6857235658299</v>
      </c>
      <c r="O87" s="21">
        <f t="shared" ca="1" si="27"/>
        <v>69170.98474611761</v>
      </c>
      <c r="P87">
        <f t="shared" ca="1" si="34"/>
        <v>8.3094291712674934E-3</v>
      </c>
    </row>
    <row r="88" spans="1:16" x14ac:dyDescent="0.2">
      <c r="A88" s="111">
        <v>1343</v>
      </c>
      <c r="B88" s="111">
        <v>8.2906999959959649E-3</v>
      </c>
      <c r="D88" s="112">
        <f t="shared" si="22"/>
        <v>0.1343</v>
      </c>
      <c r="E88" s="112">
        <f t="shared" si="23"/>
        <v>8.2906999959959649E-3</v>
      </c>
      <c r="F88" s="21">
        <f t="shared" si="28"/>
        <v>1.8036490000000002E-2</v>
      </c>
      <c r="G88" s="21">
        <f t="shared" si="29"/>
        <v>2.4223006070000002E-3</v>
      </c>
      <c r="H88" s="21">
        <f t="shared" si="30"/>
        <v>3.253149715201001E-4</v>
      </c>
      <c r="I88" s="21">
        <f t="shared" si="31"/>
        <v>1.1134410094622582E-3</v>
      </c>
      <c r="J88" s="21">
        <f t="shared" si="32"/>
        <v>1.4953512757078129E-4</v>
      </c>
      <c r="K88" s="21">
        <f t="shared" ca="1" si="24"/>
        <v>4.7923536501815285E-3</v>
      </c>
      <c r="L88" s="21">
        <f t="shared" ca="1" si="33"/>
        <v>1.223842715527322E-5</v>
      </c>
      <c r="M88" s="21">
        <f t="shared" ca="1" si="25"/>
        <v>11092.948539065534</v>
      </c>
      <c r="N88" s="21">
        <f t="shared" ca="1" si="26"/>
        <v>10219.274870902076</v>
      </c>
      <c r="O88" s="21">
        <f t="shared" ca="1" si="27"/>
        <v>72796.172414269691</v>
      </c>
      <c r="P88">
        <f t="shared" ca="1" si="34"/>
        <v>3.4983463458144364E-3</v>
      </c>
    </row>
    <row r="89" spans="1:16" x14ac:dyDescent="0.2">
      <c r="A89" s="111">
        <v>1407</v>
      </c>
      <c r="B89" s="111">
        <v>1.6842999975779094E-3</v>
      </c>
      <c r="D89" s="112">
        <f t="shared" si="22"/>
        <v>0.14069999999999999</v>
      </c>
      <c r="E89" s="112">
        <f t="shared" si="23"/>
        <v>1.6842999975779094E-3</v>
      </c>
      <c r="F89" s="21">
        <f t="shared" si="28"/>
        <v>1.9796489999999996E-2</v>
      </c>
      <c r="G89" s="21">
        <f t="shared" si="29"/>
        <v>2.7853661429999995E-3</v>
      </c>
      <c r="H89" s="21">
        <f t="shared" si="30"/>
        <v>3.9190101632009984E-4</v>
      </c>
      <c r="I89" s="21">
        <f t="shared" si="31"/>
        <v>2.3698100965921184E-4</v>
      </c>
      <c r="J89" s="21">
        <f t="shared" si="32"/>
        <v>3.3343228059051105E-5</v>
      </c>
      <c r="K89" s="21">
        <f t="shared" ca="1" si="24"/>
        <v>5.022663313751106E-3</v>
      </c>
      <c r="L89" s="21">
        <f t="shared" ca="1" si="33"/>
        <v>1.1144669630770903E-5</v>
      </c>
      <c r="M89" s="21">
        <f t="shared" ca="1" si="25"/>
        <v>10911.652533127246</v>
      </c>
      <c r="N89" s="21">
        <f t="shared" ca="1" si="26"/>
        <v>12034.849166394022</v>
      </c>
      <c r="O89" s="21">
        <f t="shared" ca="1" si="27"/>
        <v>76442.888830190452</v>
      </c>
      <c r="P89">
        <f t="shared" ca="1" si="34"/>
        <v>-3.3383633161731966E-3</v>
      </c>
    </row>
    <row r="90" spans="1:16" x14ac:dyDescent="0.2">
      <c r="A90" s="111">
        <v>1650</v>
      </c>
      <c r="B90" s="111">
        <v>-1.0415000004286412E-2</v>
      </c>
      <c r="D90" s="112">
        <f t="shared" si="22"/>
        <v>0.16500000000000001</v>
      </c>
      <c r="E90" s="112">
        <f t="shared" si="23"/>
        <v>-1.0415000004286412E-2</v>
      </c>
      <c r="F90" s="21">
        <f t="shared" si="28"/>
        <v>2.7225000000000003E-2</v>
      </c>
      <c r="G90" s="21">
        <f t="shared" si="29"/>
        <v>4.4921250000000005E-3</v>
      </c>
      <c r="H90" s="21">
        <f t="shared" si="30"/>
        <v>7.4120062500000012E-4</v>
      </c>
      <c r="I90" s="21">
        <f t="shared" si="31"/>
        <v>-1.7184750007072582E-3</v>
      </c>
      <c r="J90" s="21">
        <f t="shared" si="32"/>
        <v>-2.8354837511669764E-4</v>
      </c>
      <c r="K90" s="21">
        <f t="shared" ca="1" si="24"/>
        <v>5.8684794726146742E-3</v>
      </c>
      <c r="L90" s="21">
        <f t="shared" ca="1" si="33"/>
        <v>2.6515170387465884E-4</v>
      </c>
      <c r="M90" s="21">
        <f t="shared" ca="1" si="25"/>
        <v>10225.615332089577</v>
      </c>
      <c r="N90" s="21">
        <f t="shared" ca="1" si="26"/>
        <v>19889.769236669334</v>
      </c>
      <c r="O90" s="21">
        <f t="shared" ca="1" si="27"/>
        <v>89795.155121612581</v>
      </c>
      <c r="P90">
        <f t="shared" ca="1" si="34"/>
        <v>-1.6283479476901085E-2</v>
      </c>
    </row>
    <row r="91" spans="1:16" x14ac:dyDescent="0.2">
      <c r="A91" s="111">
        <v>1650</v>
      </c>
      <c r="B91" s="111">
        <v>-5.4150000069057569E-3</v>
      </c>
      <c r="D91" s="112">
        <f t="shared" si="22"/>
        <v>0.16500000000000001</v>
      </c>
      <c r="E91" s="112">
        <f t="shared" si="23"/>
        <v>-5.4150000069057569E-3</v>
      </c>
      <c r="F91" s="21">
        <f t="shared" si="28"/>
        <v>2.7225000000000003E-2</v>
      </c>
      <c r="G91" s="21">
        <f t="shared" si="29"/>
        <v>4.4921250000000005E-3</v>
      </c>
      <c r="H91" s="21">
        <f t="shared" si="30"/>
        <v>7.4120062500000012E-4</v>
      </c>
      <c r="I91" s="21">
        <f t="shared" si="31"/>
        <v>-8.9347500113944988E-4</v>
      </c>
      <c r="J91" s="21">
        <f t="shared" si="32"/>
        <v>-1.4742337518800923E-4</v>
      </c>
      <c r="K91" s="21">
        <f t="shared" ca="1" si="24"/>
        <v>5.8684794726146742E-3</v>
      </c>
      <c r="L91" s="21">
        <f t="shared" ca="1" si="33"/>
        <v>1.2731690916475865E-4</v>
      </c>
      <c r="M91" s="21">
        <f t="shared" ca="1" si="25"/>
        <v>10225.615332089577</v>
      </c>
      <c r="N91" s="21">
        <f t="shared" ca="1" si="26"/>
        <v>19889.769236669334</v>
      </c>
      <c r="O91" s="21">
        <f t="shared" ca="1" si="27"/>
        <v>89795.155121612581</v>
      </c>
      <c r="P91">
        <f t="shared" ca="1" si="34"/>
        <v>-1.1283479479520431E-2</v>
      </c>
    </row>
    <row r="92" spans="1:16" x14ac:dyDescent="0.2">
      <c r="A92" s="111">
        <v>1657</v>
      </c>
      <c r="B92" s="111">
        <v>-5.9070000133942813E-4</v>
      </c>
      <c r="D92" s="112">
        <f t="shared" si="22"/>
        <v>0.16569999999999999</v>
      </c>
      <c r="E92" s="112">
        <f t="shared" si="23"/>
        <v>-5.9070000133942813E-4</v>
      </c>
      <c r="F92" s="21">
        <f t="shared" si="28"/>
        <v>2.7456489999999997E-2</v>
      </c>
      <c r="G92" s="21">
        <f t="shared" si="29"/>
        <v>4.5495403929999992E-3</v>
      </c>
      <c r="H92" s="21">
        <f t="shared" si="30"/>
        <v>7.5385884312009982E-4</v>
      </c>
      <c r="I92" s="21">
        <f t="shared" si="31"/>
        <v>-9.7878990221943234E-5</v>
      </c>
      <c r="J92" s="21">
        <f t="shared" si="32"/>
        <v>-1.6218548679775994E-5</v>
      </c>
      <c r="K92" s="21">
        <f t="shared" ca="1" si="24"/>
        <v>5.8921726864676243E-3</v>
      </c>
      <c r="L92" s="21">
        <f t="shared" ca="1" si="33"/>
        <v>4.2027638286314634E-5</v>
      </c>
      <c r="M92" s="21">
        <f t="shared" ca="1" si="25"/>
        <v>10205.918656165803</v>
      </c>
      <c r="N92" s="21">
        <f t="shared" ca="1" si="26"/>
        <v>20135.973566039673</v>
      </c>
      <c r="O92" s="21">
        <f t="shared" ca="1" si="27"/>
        <v>90165.127397582764</v>
      </c>
      <c r="P92">
        <f t="shared" ca="1" si="34"/>
        <v>-6.4828726878070524E-3</v>
      </c>
    </row>
    <row r="93" spans="1:16" x14ac:dyDescent="0.2">
      <c r="A93" s="111">
        <v>1657</v>
      </c>
      <c r="B93" s="111">
        <v>4.0930000250227749E-4</v>
      </c>
      <c r="D93" s="112">
        <f t="shared" si="22"/>
        <v>0.16569999999999999</v>
      </c>
      <c r="E93" s="112">
        <f t="shared" si="23"/>
        <v>4.0930000250227749E-4</v>
      </c>
      <c r="F93" s="21">
        <f t="shared" si="28"/>
        <v>2.7456489999999997E-2</v>
      </c>
      <c r="G93" s="21">
        <f t="shared" si="29"/>
        <v>4.5495403929999992E-3</v>
      </c>
      <c r="H93" s="21">
        <f t="shared" si="30"/>
        <v>7.5385884312009982E-4</v>
      </c>
      <c r="I93" s="21">
        <f t="shared" si="31"/>
        <v>6.7821010414627372E-5</v>
      </c>
      <c r="J93" s="21">
        <f t="shared" si="32"/>
        <v>1.1237941425703755E-5</v>
      </c>
      <c r="K93" s="21">
        <f t="shared" ca="1" si="24"/>
        <v>5.8921726864676243E-3</v>
      </c>
      <c r="L93" s="21">
        <f t="shared" ca="1" si="33"/>
        <v>3.0061892868573367E-5</v>
      </c>
      <c r="M93" s="21">
        <f t="shared" ca="1" si="25"/>
        <v>10205.918656165803</v>
      </c>
      <c r="N93" s="21">
        <f t="shared" ca="1" si="26"/>
        <v>20135.973566039673</v>
      </c>
      <c r="O93" s="21">
        <f t="shared" ca="1" si="27"/>
        <v>90165.127397582764</v>
      </c>
      <c r="P93">
        <f t="shared" ca="1" si="34"/>
        <v>-5.4828726839653468E-3</v>
      </c>
    </row>
    <row r="94" spans="1:16" x14ac:dyDescent="0.2">
      <c r="A94" s="111">
        <v>1657</v>
      </c>
      <c r="B94" s="111">
        <v>9.40930000069784E-3</v>
      </c>
      <c r="D94" s="112">
        <f t="shared" si="22"/>
        <v>0.16569999999999999</v>
      </c>
      <c r="E94" s="112">
        <f t="shared" si="23"/>
        <v>9.40930000069784E-3</v>
      </c>
      <c r="F94" s="21">
        <f t="shared" si="28"/>
        <v>2.7456489999999997E-2</v>
      </c>
      <c r="G94" s="21">
        <f t="shared" si="29"/>
        <v>4.5495403929999992E-3</v>
      </c>
      <c r="H94" s="21">
        <f t="shared" si="30"/>
        <v>7.5385884312009982E-4</v>
      </c>
      <c r="I94" s="21">
        <f t="shared" si="31"/>
        <v>1.559121010115632E-3</v>
      </c>
      <c r="J94" s="21">
        <f t="shared" si="32"/>
        <v>2.5834635137616022E-4</v>
      </c>
      <c r="K94" s="21">
        <f t="shared" ca="1" si="24"/>
        <v>5.8921726864676243E-3</v>
      </c>
      <c r="L94" s="21">
        <f t="shared" ca="1" si="33"/>
        <v>1.2370184544504251E-5</v>
      </c>
      <c r="M94" s="21">
        <f t="shared" ca="1" si="25"/>
        <v>10205.918656165803</v>
      </c>
      <c r="N94" s="21">
        <f t="shared" ca="1" si="26"/>
        <v>20135.973566039673</v>
      </c>
      <c r="O94" s="21">
        <f t="shared" ca="1" si="27"/>
        <v>90165.127397582764</v>
      </c>
      <c r="P94">
        <f t="shared" ca="1" si="34"/>
        <v>3.5171273142302157E-3</v>
      </c>
    </row>
    <row r="95" spans="1:16" x14ac:dyDescent="0.2">
      <c r="A95" s="111">
        <v>1700</v>
      </c>
      <c r="B95" s="111">
        <v>6.3300000037997961E-3</v>
      </c>
      <c r="D95" s="112">
        <f t="shared" si="22"/>
        <v>0.17</v>
      </c>
      <c r="E95" s="112">
        <f t="shared" si="23"/>
        <v>6.3300000037997961E-3</v>
      </c>
      <c r="F95" s="21">
        <f t="shared" si="28"/>
        <v>2.8900000000000006E-2</v>
      </c>
      <c r="G95" s="21">
        <f t="shared" si="29"/>
        <v>4.9130000000000016E-3</v>
      </c>
      <c r="H95" s="21">
        <f t="shared" si="30"/>
        <v>8.3521000000000029E-4</v>
      </c>
      <c r="I95" s="21">
        <f t="shared" si="31"/>
        <v>1.0761000006459655E-3</v>
      </c>
      <c r="J95" s="21">
        <f t="shared" si="32"/>
        <v>1.8293700010981414E-4</v>
      </c>
      <c r="K95" s="21">
        <f t="shared" ca="1" si="24"/>
        <v>6.03689128558332E-3</v>
      </c>
      <c r="L95" s="21">
        <f t="shared" ca="1" si="33"/>
        <v>8.5912720694505607E-8</v>
      </c>
      <c r="M95" s="21">
        <f t="shared" ca="1" si="25"/>
        <v>10085.018561837485</v>
      </c>
      <c r="N95" s="21">
        <f t="shared" ca="1" si="26"/>
        <v>21669.928654658594</v>
      </c>
      <c r="O95" s="21">
        <f t="shared" ca="1" si="27"/>
        <v>92416.4664130163</v>
      </c>
      <c r="P95">
        <f t="shared" ca="1" si="34"/>
        <v>2.9310871821647613E-4</v>
      </c>
    </row>
    <row r="96" spans="1:16" x14ac:dyDescent="0.2">
      <c r="A96" s="111">
        <v>1728</v>
      </c>
      <c r="B96" s="111">
        <v>-1.3372800000070129E-2</v>
      </c>
      <c r="D96" s="112">
        <f t="shared" si="22"/>
        <v>0.17280000000000001</v>
      </c>
      <c r="E96" s="112">
        <f t="shared" si="23"/>
        <v>-1.3372800000070129E-2</v>
      </c>
      <c r="F96" s="21">
        <f t="shared" si="28"/>
        <v>2.9859840000000002E-2</v>
      </c>
      <c r="G96" s="21">
        <f t="shared" si="29"/>
        <v>5.1597803520000004E-3</v>
      </c>
      <c r="H96" s="21">
        <f t="shared" si="30"/>
        <v>8.9161004482560008E-4</v>
      </c>
      <c r="I96" s="21">
        <f t="shared" si="31"/>
        <v>-2.3108198400121184E-3</v>
      </c>
      <c r="J96" s="21">
        <f t="shared" si="32"/>
        <v>-3.9930966835409411E-4</v>
      </c>
      <c r="K96" s="21">
        <f t="shared" ca="1" si="24"/>
        <v>6.1303634187143598E-3</v>
      </c>
      <c r="L96" s="21">
        <f t="shared" ca="1" si="33"/>
        <v>3.8037338333981354E-4</v>
      </c>
      <c r="M96" s="21">
        <f t="shared" ca="1" si="25"/>
        <v>10006.382862979053</v>
      </c>
      <c r="N96" s="21">
        <f t="shared" ca="1" si="26"/>
        <v>22688.011704567121</v>
      </c>
      <c r="O96" s="21">
        <f t="shared" ca="1" si="27"/>
        <v>93861.936322251015</v>
      </c>
      <c r="P96">
        <f t="shared" ca="1" si="34"/>
        <v>-1.950316341878449E-2</v>
      </c>
    </row>
    <row r="97" spans="1:16" x14ac:dyDescent="0.2">
      <c r="A97" s="111">
        <v>1770</v>
      </c>
      <c r="B97" s="111">
        <v>1.1572999996133149E-2</v>
      </c>
      <c r="D97" s="112">
        <f t="shared" si="22"/>
        <v>0.17699999999999999</v>
      </c>
      <c r="E97" s="112">
        <f t="shared" si="23"/>
        <v>1.1572999996133149E-2</v>
      </c>
      <c r="F97" s="21">
        <f t="shared" si="28"/>
        <v>3.1328999999999996E-2</v>
      </c>
      <c r="G97" s="21">
        <f t="shared" si="29"/>
        <v>5.5452329999999992E-3</v>
      </c>
      <c r="H97" s="21">
        <f t="shared" si="30"/>
        <v>9.8150624099999973E-4</v>
      </c>
      <c r="I97" s="21">
        <f t="shared" si="31"/>
        <v>2.0484209993155674E-3</v>
      </c>
      <c r="J97" s="21">
        <f t="shared" si="32"/>
        <v>3.6257051687885541E-4</v>
      </c>
      <c r="K97" s="21">
        <f t="shared" ca="1" si="24"/>
        <v>6.2694428924647992E-3</v>
      </c>
      <c r="L97" s="21">
        <f t="shared" ca="1" si="33"/>
        <v>2.8127717951871013E-5</v>
      </c>
      <c r="M97" s="21">
        <f t="shared" ca="1" si="25"/>
        <v>9888.5692889644451</v>
      </c>
      <c r="N97" s="21">
        <f t="shared" ca="1" si="26"/>
        <v>24242.07773475545</v>
      </c>
      <c r="O97" s="21">
        <f t="shared" ca="1" si="27"/>
        <v>95998.1620047123</v>
      </c>
      <c r="P97">
        <f t="shared" ca="1" si="34"/>
        <v>5.3035571036683495E-3</v>
      </c>
    </row>
    <row r="98" spans="1:16" x14ac:dyDescent="0.2">
      <c r="A98" s="111">
        <v>1806</v>
      </c>
      <c r="B98" s="111">
        <v>1.2669399999140296E-2</v>
      </c>
      <c r="D98" s="112">
        <f t="shared" si="22"/>
        <v>0.18060000000000001</v>
      </c>
      <c r="E98" s="112">
        <f t="shared" si="23"/>
        <v>1.2669399999140296E-2</v>
      </c>
      <c r="F98" s="21">
        <f t="shared" si="28"/>
        <v>3.2616360000000004E-2</v>
      </c>
      <c r="G98" s="21">
        <f t="shared" si="29"/>
        <v>5.8905146160000013E-3</v>
      </c>
      <c r="H98" s="21">
        <f t="shared" si="30"/>
        <v>1.0638269396496002E-3</v>
      </c>
      <c r="I98" s="21">
        <f t="shared" si="31"/>
        <v>2.2880936398447377E-3</v>
      </c>
      <c r="J98" s="21">
        <f t="shared" si="32"/>
        <v>4.1322971135595964E-4</v>
      </c>
      <c r="K98" s="21">
        <f t="shared" ca="1" si="24"/>
        <v>6.3875758215105188E-3</v>
      </c>
      <c r="L98" s="21">
        <f t="shared" ca="1" si="33"/>
        <v>3.9461314998654026E-5</v>
      </c>
      <c r="M98" s="21">
        <f t="shared" ca="1" si="25"/>
        <v>9787.7261744454063</v>
      </c>
      <c r="N98" s="21">
        <f t="shared" ca="1" si="26"/>
        <v>25598.541661478357</v>
      </c>
      <c r="O98" s="21">
        <f t="shared" ca="1" si="27"/>
        <v>97797.241678913444</v>
      </c>
      <c r="P98">
        <f t="shared" ca="1" si="34"/>
        <v>6.2818241776297773E-3</v>
      </c>
    </row>
    <row r="99" spans="1:16" x14ac:dyDescent="0.2">
      <c r="A99" s="111">
        <v>1819</v>
      </c>
      <c r="B99" s="111">
        <v>1.434309999604011E-2</v>
      </c>
      <c r="D99" s="112">
        <f t="shared" si="22"/>
        <v>0.18190000000000001</v>
      </c>
      <c r="E99" s="112">
        <f t="shared" si="23"/>
        <v>1.434309999604011E-2</v>
      </c>
      <c r="F99" s="21">
        <f t="shared" si="28"/>
        <v>3.3087610000000003E-2</v>
      </c>
      <c r="G99" s="21">
        <f t="shared" si="29"/>
        <v>6.0186362590000011E-3</v>
      </c>
      <c r="H99" s="21">
        <f t="shared" si="30"/>
        <v>1.0947899355121002E-3</v>
      </c>
      <c r="I99" s="21">
        <f t="shared" si="31"/>
        <v>2.6090098892796961E-3</v>
      </c>
      <c r="J99" s="21">
        <f t="shared" si="32"/>
        <v>4.7457889885997676E-4</v>
      </c>
      <c r="K99" s="21">
        <f t="shared" ca="1" si="24"/>
        <v>6.4299903774887009E-3</v>
      </c>
      <c r="L99" s="21">
        <f t="shared" ca="1" si="33"/>
        <v>6.261730383521083E-5</v>
      </c>
      <c r="M99" s="21">
        <f t="shared" ca="1" si="25"/>
        <v>9751.3435758222749</v>
      </c>
      <c r="N99" s="21">
        <f t="shared" ca="1" si="26"/>
        <v>26093.657099931752</v>
      </c>
      <c r="O99" s="21">
        <f t="shared" ca="1" si="27"/>
        <v>98439.384505777387</v>
      </c>
      <c r="P99">
        <f t="shared" ca="1" si="34"/>
        <v>7.9131096185514095E-3</v>
      </c>
    </row>
    <row r="100" spans="1:16" x14ac:dyDescent="0.2">
      <c r="A100" s="111">
        <v>1861</v>
      </c>
      <c r="B100" s="111">
        <v>1.2288900004932657E-2</v>
      </c>
      <c r="D100" s="112">
        <f t="shared" si="22"/>
        <v>0.18609999999999999</v>
      </c>
      <c r="E100" s="112">
        <f t="shared" si="23"/>
        <v>1.2288900004932657E-2</v>
      </c>
      <c r="F100" s="21">
        <f t="shared" si="28"/>
        <v>3.4633209999999998E-2</v>
      </c>
      <c r="G100" s="21">
        <f t="shared" si="29"/>
        <v>6.4452403809999994E-3</v>
      </c>
      <c r="H100" s="21">
        <f t="shared" si="30"/>
        <v>1.1994592349040998E-3</v>
      </c>
      <c r="I100" s="21">
        <f t="shared" si="31"/>
        <v>2.2869642909179675E-3</v>
      </c>
      <c r="J100" s="21">
        <f t="shared" si="32"/>
        <v>4.2560405453983375E-4</v>
      </c>
      <c r="K100" s="21">
        <f t="shared" ca="1" si="24"/>
        <v>6.5661351637792322E-3</v>
      </c>
      <c r="L100" s="21">
        <f t="shared" ca="1" si="33"/>
        <v>3.2750037427141779E-5</v>
      </c>
      <c r="M100" s="21">
        <f t="shared" ca="1" si="25"/>
        <v>9633.9238091242587</v>
      </c>
      <c r="N100" s="21">
        <f t="shared" ca="1" si="26"/>
        <v>27711.495160807259</v>
      </c>
      <c r="O100" s="21">
        <f t="shared" ca="1" si="27"/>
        <v>100485.74859890368</v>
      </c>
      <c r="P100">
        <f t="shared" ca="1" si="34"/>
        <v>5.7227648411534247E-3</v>
      </c>
    </row>
    <row r="101" spans="1:16" x14ac:dyDescent="0.2">
      <c r="A101" s="111">
        <v>1868</v>
      </c>
      <c r="B101" s="111">
        <v>1.1113200002000667E-2</v>
      </c>
      <c r="D101" s="112">
        <f t="shared" si="22"/>
        <v>0.18679999999999999</v>
      </c>
      <c r="E101" s="112">
        <f t="shared" si="23"/>
        <v>1.1113200002000667E-2</v>
      </c>
      <c r="F101" s="21">
        <f t="shared" si="28"/>
        <v>3.489424E-2</v>
      </c>
      <c r="G101" s="21">
        <f t="shared" si="29"/>
        <v>6.5182440320000002E-3</v>
      </c>
      <c r="H101" s="21">
        <f t="shared" si="30"/>
        <v>1.2176079851776E-3</v>
      </c>
      <c r="I101" s="21">
        <f t="shared" si="31"/>
        <v>2.0759457603737245E-3</v>
      </c>
      <c r="J101" s="21">
        <f t="shared" si="32"/>
        <v>3.8778666803781174E-4</v>
      </c>
      <c r="K101" s="21">
        <f t="shared" ca="1" si="24"/>
        <v>6.5886942768006076E-3</v>
      </c>
      <c r="L101" s="21">
        <f t="shared" ca="1" si="33"/>
        <v>2.0471152057368119E-5</v>
      </c>
      <c r="M101" s="21">
        <f t="shared" ca="1" si="25"/>
        <v>9614.3727134888304</v>
      </c>
      <c r="N101" s="21">
        <f t="shared" ca="1" si="26"/>
        <v>27983.750256778287</v>
      </c>
      <c r="O101" s="21">
        <f t="shared" ca="1" si="27"/>
        <v>100822.51871442179</v>
      </c>
      <c r="P101">
        <f t="shared" ca="1" si="34"/>
        <v>4.5245057252000596E-3</v>
      </c>
    </row>
    <row r="102" spans="1:16" x14ac:dyDescent="0.2">
      <c r="A102" s="111">
        <v>2133</v>
      </c>
      <c r="B102" s="111">
        <v>1.5461699993466027E-2</v>
      </c>
      <c r="D102" s="112">
        <f t="shared" si="22"/>
        <v>0.21329999999999999</v>
      </c>
      <c r="E102" s="112">
        <f t="shared" si="23"/>
        <v>1.5461699993466027E-2</v>
      </c>
      <c r="F102" s="21">
        <f t="shared" si="28"/>
        <v>4.5496889999999998E-2</v>
      </c>
      <c r="G102" s="21">
        <f t="shared" si="29"/>
        <v>9.7044866369999996E-3</v>
      </c>
      <c r="H102" s="21">
        <f t="shared" si="30"/>
        <v>2.0699669996720998E-3</v>
      </c>
      <c r="I102" s="21">
        <f t="shared" si="31"/>
        <v>3.2979806086063032E-3</v>
      </c>
      <c r="J102" s="21">
        <f t="shared" si="32"/>
        <v>7.0345926381572439E-4</v>
      </c>
      <c r="K102" s="21">
        <f t="shared" ca="1" si="24"/>
        <v>7.4150448594818364E-3</v>
      </c>
      <c r="L102" s="21">
        <f t="shared" ca="1" si="33"/>
        <v>6.4748658845274152E-5</v>
      </c>
      <c r="M102" s="21">
        <f t="shared" ca="1" si="25"/>
        <v>8878.6731059985268</v>
      </c>
      <c r="N102" s="21">
        <f t="shared" ca="1" si="26"/>
        <v>38744.659149149171</v>
      </c>
      <c r="O102" s="21">
        <f t="shared" ca="1" si="27"/>
        <v>112574.44878401032</v>
      </c>
      <c r="P102">
        <f t="shared" ca="1" si="34"/>
        <v>8.0466551339841916E-3</v>
      </c>
    </row>
    <row r="103" spans="1:16" x14ac:dyDescent="0.2">
      <c r="A103" s="111">
        <v>2148</v>
      </c>
      <c r="B103" s="111">
        <v>4.0852000020095147E-3</v>
      </c>
      <c r="D103" s="112">
        <f t="shared" si="22"/>
        <v>0.21479999999999999</v>
      </c>
      <c r="E103" s="112">
        <f t="shared" si="23"/>
        <v>4.0852000020095147E-3</v>
      </c>
      <c r="F103" s="21">
        <f t="shared" si="28"/>
        <v>4.6139039999999999E-2</v>
      </c>
      <c r="G103" s="21">
        <f t="shared" si="29"/>
        <v>9.9106657919999994E-3</v>
      </c>
      <c r="H103" s="21">
        <f t="shared" si="30"/>
        <v>2.1288110121215997E-3</v>
      </c>
      <c r="I103" s="21">
        <f t="shared" si="31"/>
        <v>8.7750096043164375E-4</v>
      </c>
      <c r="J103" s="21">
        <f t="shared" si="32"/>
        <v>1.8848720630071706E-4</v>
      </c>
      <c r="K103" s="21">
        <f t="shared" ca="1" si="24"/>
        <v>7.4602069551283684E-3</v>
      </c>
      <c r="L103" s="21">
        <f t="shared" ca="1" si="33"/>
        <v>1.1390671933600607E-5</v>
      </c>
      <c r="M103" s="21">
        <f t="shared" ca="1" si="25"/>
        <v>8837.3149955671433</v>
      </c>
      <c r="N103" s="21">
        <f t="shared" ca="1" si="26"/>
        <v>39375.275480646327</v>
      </c>
      <c r="O103" s="21">
        <f t="shared" ca="1" si="27"/>
        <v>113176.79077279248</v>
      </c>
      <c r="P103">
        <f t="shared" ca="1" si="34"/>
        <v>-3.3750069531188536E-3</v>
      </c>
    </row>
    <row r="104" spans="1:16" x14ac:dyDescent="0.2">
      <c r="A104" s="111">
        <v>2148</v>
      </c>
      <c r="B104" s="111">
        <v>1.6085199997178279E-2</v>
      </c>
      <c r="D104" s="112">
        <f t="shared" si="22"/>
        <v>0.21479999999999999</v>
      </c>
      <c r="E104" s="112">
        <f t="shared" si="23"/>
        <v>1.6085199997178279E-2</v>
      </c>
      <c r="F104" s="21">
        <f t="shared" si="28"/>
        <v>4.6139039999999999E-2</v>
      </c>
      <c r="G104" s="21">
        <f t="shared" si="29"/>
        <v>9.9106657919999994E-3</v>
      </c>
      <c r="H104" s="21">
        <f t="shared" si="30"/>
        <v>2.1288110121215997E-3</v>
      </c>
      <c r="I104" s="21">
        <f t="shared" si="31"/>
        <v>3.4551009593938942E-3</v>
      </c>
      <c r="J104" s="21">
        <f t="shared" si="32"/>
        <v>7.4215568607780848E-4</v>
      </c>
      <c r="K104" s="21">
        <f t="shared" ca="1" si="24"/>
        <v>7.4602069551283684E-3</v>
      </c>
      <c r="L104" s="21">
        <f t="shared" ca="1" si="33"/>
        <v>7.4390504975409359E-5</v>
      </c>
      <c r="M104" s="21">
        <f t="shared" ca="1" si="25"/>
        <v>8837.3149955671433</v>
      </c>
      <c r="N104" s="21">
        <f t="shared" ca="1" si="26"/>
        <v>39375.275480646327</v>
      </c>
      <c r="O104" s="21">
        <f t="shared" ca="1" si="27"/>
        <v>113176.79077279248</v>
      </c>
      <c r="P104">
        <f t="shared" ca="1" si="34"/>
        <v>8.6249930420499096E-3</v>
      </c>
    </row>
    <row r="105" spans="1:16" x14ac:dyDescent="0.2">
      <c r="A105" s="111">
        <v>2168</v>
      </c>
      <c r="B105" s="111">
        <v>-7.4167999991914257E-3</v>
      </c>
      <c r="D105" s="112">
        <f t="shared" si="22"/>
        <v>0.21679999999999999</v>
      </c>
      <c r="E105" s="112">
        <f t="shared" si="23"/>
        <v>-7.4167999991914257E-3</v>
      </c>
      <c r="F105" s="21">
        <f t="shared" si="28"/>
        <v>4.7002239999999994E-2</v>
      </c>
      <c r="G105" s="21">
        <f t="shared" si="29"/>
        <v>1.0190085631999999E-2</v>
      </c>
      <c r="H105" s="21">
        <f t="shared" si="30"/>
        <v>2.2092105650175996E-3</v>
      </c>
      <c r="I105" s="21">
        <f t="shared" si="31"/>
        <v>-1.607962239824701E-3</v>
      </c>
      <c r="J105" s="21">
        <f t="shared" si="32"/>
        <v>-3.4860621359399514E-4</v>
      </c>
      <c r="K105" s="21">
        <f t="shared" ca="1" si="24"/>
        <v>7.5201543383841907E-3</v>
      </c>
      <c r="L105" s="21">
        <f t="shared" ca="1" si="33"/>
        <v>2.2311260488281899E-4</v>
      </c>
      <c r="M105" s="21">
        <f t="shared" ca="1" si="25"/>
        <v>8782.2229624036499</v>
      </c>
      <c r="N105" s="21">
        <f t="shared" ca="1" si="26"/>
        <v>40218.841152123881</v>
      </c>
      <c r="O105" s="21">
        <f t="shared" ca="1" si="27"/>
        <v>113968.66270672301</v>
      </c>
      <c r="P105">
        <f t="shared" ca="1" si="34"/>
        <v>-1.4936954337575616E-2</v>
      </c>
    </row>
    <row r="106" spans="1:16" x14ac:dyDescent="0.2">
      <c r="A106" s="111">
        <v>2169</v>
      </c>
      <c r="B106" s="111">
        <v>-4.4418999968911521E-3</v>
      </c>
      <c r="D106" s="112">
        <f t="shared" si="22"/>
        <v>0.21690000000000001</v>
      </c>
      <c r="E106" s="112">
        <f t="shared" si="23"/>
        <v>-4.4418999968911521E-3</v>
      </c>
      <c r="F106" s="21">
        <f t="shared" si="28"/>
        <v>4.7045610000000002E-2</v>
      </c>
      <c r="G106" s="21">
        <f t="shared" si="29"/>
        <v>1.0204192809000001E-2</v>
      </c>
      <c r="H106" s="21">
        <f t="shared" si="30"/>
        <v>2.2132894202721003E-3</v>
      </c>
      <c r="I106" s="21">
        <f t="shared" si="31"/>
        <v>-9.6344810932569097E-4</v>
      </c>
      <c r="J106" s="21">
        <f t="shared" si="32"/>
        <v>-2.0897189491274237E-4</v>
      </c>
      <c r="K106" s="21">
        <f t="shared" ca="1" si="24"/>
        <v>7.5231436452187946E-3</v>
      </c>
      <c r="L106" s="21">
        <f t="shared" ca="1" si="33"/>
        <v>1.4316226935759564E-4</v>
      </c>
      <c r="M106" s="21">
        <f t="shared" ca="1" si="25"/>
        <v>8779.4699407475218</v>
      </c>
      <c r="N106" s="21">
        <f t="shared" ca="1" si="26"/>
        <v>40261.098802940702</v>
      </c>
      <c r="O106" s="21">
        <f t="shared" ca="1" si="27"/>
        <v>114007.91618886928</v>
      </c>
      <c r="P106">
        <f t="shared" ca="1" si="34"/>
        <v>-1.1965043642109947E-2</v>
      </c>
    </row>
    <row r="107" spans="1:16" x14ac:dyDescent="0.2">
      <c r="A107" s="111">
        <v>2169</v>
      </c>
      <c r="B107" s="111">
        <v>-4.4190000335220248E-4</v>
      </c>
      <c r="D107" s="112">
        <f t="shared" si="22"/>
        <v>0.21690000000000001</v>
      </c>
      <c r="E107" s="112">
        <f t="shared" si="23"/>
        <v>-4.4190000335220248E-4</v>
      </c>
      <c r="F107" s="21">
        <f t="shared" si="28"/>
        <v>4.7045610000000002E-2</v>
      </c>
      <c r="G107" s="21">
        <f t="shared" si="29"/>
        <v>1.0204192809000001E-2</v>
      </c>
      <c r="H107" s="21">
        <f t="shared" si="30"/>
        <v>2.2132894202721003E-3</v>
      </c>
      <c r="I107" s="21">
        <f t="shared" si="31"/>
        <v>-9.5848110727092718E-5</v>
      </c>
      <c r="J107" s="21">
        <f t="shared" si="32"/>
        <v>-2.0789455216706412E-5</v>
      </c>
      <c r="K107" s="21">
        <f t="shared" ca="1" si="24"/>
        <v>7.5231436452187946E-3</v>
      </c>
      <c r="L107" s="21">
        <f t="shared" ca="1" si="33"/>
        <v>6.344192032364118E-5</v>
      </c>
      <c r="M107" s="21">
        <f t="shared" ca="1" si="25"/>
        <v>8779.4699407475218</v>
      </c>
      <c r="N107" s="21">
        <f t="shared" ca="1" si="26"/>
        <v>40261.098802940702</v>
      </c>
      <c r="O107" s="21">
        <f t="shared" ca="1" si="27"/>
        <v>114007.91618886928</v>
      </c>
      <c r="P107">
        <f t="shared" ca="1" si="34"/>
        <v>-7.965043648570997E-3</v>
      </c>
    </row>
    <row r="108" spans="1:16" x14ac:dyDescent="0.2">
      <c r="A108" s="111">
        <v>2182</v>
      </c>
      <c r="B108" s="111">
        <v>3.2318000012310222E-3</v>
      </c>
      <c r="D108" s="112">
        <f t="shared" si="22"/>
        <v>0.21820000000000001</v>
      </c>
      <c r="E108" s="112">
        <f t="shared" si="23"/>
        <v>3.2318000012310222E-3</v>
      </c>
      <c r="F108" s="21">
        <f t="shared" si="28"/>
        <v>4.7611239999999999E-2</v>
      </c>
      <c r="G108" s="21">
        <f t="shared" si="29"/>
        <v>1.0388772568E-2</v>
      </c>
      <c r="H108" s="21">
        <f t="shared" si="30"/>
        <v>2.2668301743376E-3</v>
      </c>
      <c r="I108" s="21">
        <f t="shared" si="31"/>
        <v>7.0517876026860902E-4</v>
      </c>
      <c r="J108" s="21">
        <f t="shared" si="32"/>
        <v>1.5387000549061048E-4</v>
      </c>
      <c r="K108" s="21">
        <f t="shared" ca="1" si="24"/>
        <v>7.5619347605577047E-3</v>
      </c>
      <c r="L108" s="21">
        <f t="shared" ca="1" si="33"/>
        <v>1.8750067033929146E-5</v>
      </c>
      <c r="M108" s="21">
        <f t="shared" ca="1" si="25"/>
        <v>8743.6944884462609</v>
      </c>
      <c r="N108" s="21">
        <f t="shared" ca="1" si="26"/>
        <v>40811.112072636904</v>
      </c>
      <c r="O108" s="21">
        <f t="shared" ca="1" si="27"/>
        <v>114515.24282965455</v>
      </c>
      <c r="P108">
        <f t="shared" ca="1" si="34"/>
        <v>-4.3301347593266825E-3</v>
      </c>
    </row>
    <row r="109" spans="1:16" x14ac:dyDescent="0.2">
      <c r="A109" s="111">
        <v>2232</v>
      </c>
      <c r="B109" s="111">
        <v>9.9768000000040047E-3</v>
      </c>
      <c r="D109" s="112">
        <f t="shared" si="22"/>
        <v>0.22320000000000001</v>
      </c>
      <c r="E109" s="112">
        <f t="shared" si="23"/>
        <v>9.9768000000040047E-3</v>
      </c>
      <c r="F109" s="21">
        <f t="shared" si="28"/>
        <v>4.9818240000000007E-2</v>
      </c>
      <c r="G109" s="21">
        <f t="shared" si="29"/>
        <v>1.1119431168000002E-2</v>
      </c>
      <c r="H109" s="21">
        <f t="shared" si="30"/>
        <v>2.4818570366976008E-3</v>
      </c>
      <c r="I109" s="21">
        <f t="shared" si="31"/>
        <v>2.2268217600008937E-3</v>
      </c>
      <c r="J109" s="21">
        <f t="shared" si="32"/>
        <v>4.9702661683219949E-4</v>
      </c>
      <c r="K109" s="21">
        <f t="shared" ca="1" si="24"/>
        <v>7.709922008787065E-3</v>
      </c>
      <c r="L109" s="21">
        <f t="shared" ca="1" si="33"/>
        <v>5.1387358270637478E-6</v>
      </c>
      <c r="M109" s="21">
        <f t="shared" ca="1" si="25"/>
        <v>8606.340383245506</v>
      </c>
      <c r="N109" s="21">
        <f t="shared" ca="1" si="26"/>
        <v>42937.259265840439</v>
      </c>
      <c r="O109" s="21">
        <f t="shared" ca="1" si="27"/>
        <v>116414.45027927653</v>
      </c>
      <c r="P109">
        <f t="shared" ca="1" si="34"/>
        <v>2.2668779912169397E-3</v>
      </c>
    </row>
    <row r="110" spans="1:16" x14ac:dyDescent="0.2">
      <c r="A110" s="111">
        <v>2239</v>
      </c>
      <c r="B110" s="111">
        <v>3.9801099999749567E-2</v>
      </c>
      <c r="D110" s="112">
        <f t="shared" si="22"/>
        <v>0.22389999999999999</v>
      </c>
      <c r="E110" s="112">
        <f t="shared" si="23"/>
        <v>3.9801099999749567E-2</v>
      </c>
      <c r="F110" s="21">
        <f t="shared" si="28"/>
        <v>5.0131209999999995E-2</v>
      </c>
      <c r="G110" s="21">
        <f t="shared" si="29"/>
        <v>1.1224377918999998E-2</v>
      </c>
      <c r="H110" s="21">
        <f t="shared" si="30"/>
        <v>2.5131382160640996E-3</v>
      </c>
      <c r="I110" s="21">
        <f t="shared" si="31"/>
        <v>8.9114662899439281E-3</v>
      </c>
      <c r="J110" s="21">
        <f t="shared" si="32"/>
        <v>1.9952773023184452E-3</v>
      </c>
      <c r="K110" s="21">
        <f t="shared" ca="1" si="24"/>
        <v>7.7304870393036292E-3</v>
      </c>
      <c r="L110" s="21">
        <f t="shared" ca="1" si="33"/>
        <v>1.0285242156587229E-3</v>
      </c>
      <c r="M110" s="21">
        <f t="shared" ca="1" si="25"/>
        <v>8587.1423040760073</v>
      </c>
      <c r="N110" s="21">
        <f t="shared" ca="1" si="26"/>
        <v>43236.16963067442</v>
      </c>
      <c r="O110" s="21">
        <f t="shared" ca="1" si="27"/>
        <v>116673.6554915579</v>
      </c>
      <c r="P110">
        <f t="shared" ca="1" si="34"/>
        <v>3.2070612960445936E-2</v>
      </c>
    </row>
    <row r="111" spans="1:16" x14ac:dyDescent="0.2">
      <c r="A111" s="111">
        <v>2266</v>
      </c>
      <c r="B111" s="111">
        <v>2.3123400002077688E-2</v>
      </c>
      <c r="D111" s="112">
        <f t="shared" si="22"/>
        <v>0.2266</v>
      </c>
      <c r="E111" s="112">
        <f t="shared" si="23"/>
        <v>2.3123400002077688E-2</v>
      </c>
      <c r="F111" s="21">
        <f t="shared" si="28"/>
        <v>5.134756E-2</v>
      </c>
      <c r="G111" s="21">
        <f t="shared" si="29"/>
        <v>1.1635357096E-2</v>
      </c>
      <c r="H111" s="21">
        <f t="shared" si="30"/>
        <v>2.6365719179536002E-3</v>
      </c>
      <c r="I111" s="21">
        <f t="shared" si="31"/>
        <v>5.2397624404708042E-3</v>
      </c>
      <c r="J111" s="21">
        <f t="shared" si="32"/>
        <v>1.1873301690106842E-3</v>
      </c>
      <c r="K111" s="21">
        <f t="shared" ca="1" si="24"/>
        <v>7.8094568609496555E-3</v>
      </c>
      <c r="L111" s="21">
        <f t="shared" ca="1" si="33"/>
        <v>2.3451685452970233E-4</v>
      </c>
      <c r="M111" s="21">
        <f t="shared" ca="1" si="25"/>
        <v>8513.1667377016129</v>
      </c>
      <c r="N111" s="21">
        <f t="shared" ca="1" si="26"/>
        <v>44391.692013154323</v>
      </c>
      <c r="O111" s="21">
        <f t="shared" ca="1" si="27"/>
        <v>117657.82434686985</v>
      </c>
      <c r="P111">
        <f t="shared" ca="1" si="34"/>
        <v>1.5313943141128033E-2</v>
      </c>
    </row>
    <row r="112" spans="1:16" x14ac:dyDescent="0.2">
      <c r="A112" s="111">
        <v>2267</v>
      </c>
      <c r="B112" s="111">
        <v>1.4098300001933239E-2</v>
      </c>
      <c r="D112" s="112">
        <f t="shared" si="22"/>
        <v>0.22670000000000001</v>
      </c>
      <c r="E112" s="112">
        <f t="shared" si="23"/>
        <v>1.4098300001933239E-2</v>
      </c>
      <c r="F112" s="21">
        <f t="shared" si="28"/>
        <v>5.1392890000000004E-2</v>
      </c>
      <c r="G112" s="21">
        <f t="shared" si="29"/>
        <v>1.1650768163000001E-2</v>
      </c>
      <c r="H112" s="21">
        <f t="shared" si="30"/>
        <v>2.6412291425521005E-3</v>
      </c>
      <c r="I112" s="21">
        <f t="shared" si="31"/>
        <v>3.1960846104382656E-3</v>
      </c>
      <c r="J112" s="21">
        <f t="shared" si="32"/>
        <v>7.2455238118635489E-4</v>
      </c>
      <c r="K112" s="21">
        <f t="shared" ca="1" si="24"/>
        <v>7.8123709193878539E-3</v>
      </c>
      <c r="L112" s="21">
        <f t="shared" ca="1" si="33"/>
        <v>3.9512904430789874E-5</v>
      </c>
      <c r="M112" s="21">
        <f t="shared" ca="1" si="25"/>
        <v>8510.4291858050819</v>
      </c>
      <c r="N112" s="21">
        <f t="shared" ca="1" si="26"/>
        <v>44434.564209453994</v>
      </c>
      <c r="O112" s="21">
        <f t="shared" ca="1" si="27"/>
        <v>117693.79549538856</v>
      </c>
      <c r="P112">
        <f t="shared" ca="1" si="34"/>
        <v>6.2859290825453855E-3</v>
      </c>
    </row>
    <row r="113" spans="1:16" x14ac:dyDescent="0.2">
      <c r="A113" s="111">
        <v>2281</v>
      </c>
      <c r="B113" s="111">
        <v>-5.2531000037561171E-3</v>
      </c>
      <c r="D113" s="112">
        <f t="shared" si="22"/>
        <v>0.2281</v>
      </c>
      <c r="E113" s="112">
        <f t="shared" si="23"/>
        <v>-5.2531000037561171E-3</v>
      </c>
      <c r="F113" s="21">
        <f t="shared" si="28"/>
        <v>5.2029609999999997E-2</v>
      </c>
      <c r="G113" s="21">
        <f t="shared" si="29"/>
        <v>1.1867954040999999E-2</v>
      </c>
      <c r="H113" s="21">
        <f t="shared" si="30"/>
        <v>2.7070803167520995E-3</v>
      </c>
      <c r="I113" s="21">
        <f t="shared" si="31"/>
        <v>-1.1982321108567702E-3</v>
      </c>
      <c r="J113" s="21">
        <f t="shared" si="32"/>
        <v>-2.7331674448642928E-4</v>
      </c>
      <c r="K113" s="21">
        <f t="shared" ca="1" si="24"/>
        <v>7.8530871142407418E-3</v>
      </c>
      <c r="L113" s="21">
        <f t="shared" ca="1" si="33"/>
        <v>1.717721407719468E-4</v>
      </c>
      <c r="M113" s="21">
        <f t="shared" ca="1" si="25"/>
        <v>8472.120784040806</v>
      </c>
      <c r="N113" s="21">
        <f t="shared" ca="1" si="26"/>
        <v>45035.30488116444</v>
      </c>
      <c r="O113" s="21">
        <f t="shared" ca="1" si="27"/>
        <v>118193.76794653402</v>
      </c>
      <c r="P113">
        <f t="shared" ca="1" si="34"/>
        <v>-1.3106187117996859E-2</v>
      </c>
    </row>
    <row r="114" spans="1:16" x14ac:dyDescent="0.2">
      <c r="A114" s="111">
        <v>2309</v>
      </c>
      <c r="B114" s="111">
        <v>4.0441000019200146E-3</v>
      </c>
      <c r="D114" s="112">
        <f t="shared" si="22"/>
        <v>0.23089999999999999</v>
      </c>
      <c r="E114" s="112">
        <f t="shared" si="23"/>
        <v>4.0441000019200146E-3</v>
      </c>
      <c r="F114" s="21">
        <f t="shared" si="28"/>
        <v>5.3314809999999997E-2</v>
      </c>
      <c r="G114" s="21">
        <f t="shared" si="29"/>
        <v>1.2310389628999999E-2</v>
      </c>
      <c r="H114" s="21">
        <f t="shared" si="30"/>
        <v>2.8424689653360996E-3</v>
      </c>
      <c r="I114" s="21">
        <f t="shared" si="31"/>
        <v>9.3378269044333139E-4</v>
      </c>
      <c r="J114" s="21">
        <f t="shared" si="32"/>
        <v>2.1561042322336521E-4</v>
      </c>
      <c r="K114" s="21">
        <f t="shared" ca="1" si="24"/>
        <v>7.9340680135680693E-3</v>
      </c>
      <c r="L114" s="21">
        <f t="shared" ca="1" si="33"/>
        <v>1.513185113164512E-5</v>
      </c>
      <c r="M114" s="21">
        <f t="shared" ca="1" si="25"/>
        <v>8395.6021225880049</v>
      </c>
      <c r="N114" s="21">
        <f t="shared" ca="1" si="26"/>
        <v>46239.565172908704</v>
      </c>
      <c r="O114" s="21">
        <f t="shared" ca="1" si="27"/>
        <v>119173.26870214644</v>
      </c>
      <c r="P114">
        <f t="shared" ca="1" si="34"/>
        <v>-3.8899680116480546E-3</v>
      </c>
    </row>
    <row r="115" spans="1:16" x14ac:dyDescent="0.2">
      <c r="A115" s="111">
        <v>2560</v>
      </c>
      <c r="B115" s="111">
        <v>1.174400000309106E-2</v>
      </c>
      <c r="D115" s="112">
        <f t="shared" si="22"/>
        <v>0.25600000000000001</v>
      </c>
      <c r="E115" s="112">
        <f t="shared" si="23"/>
        <v>1.174400000309106E-2</v>
      </c>
      <c r="F115" s="21">
        <f t="shared" si="28"/>
        <v>6.5535999999999997E-2</v>
      </c>
      <c r="G115" s="21">
        <f t="shared" si="29"/>
        <v>1.6777216000000001E-2</v>
      </c>
      <c r="H115" s="21">
        <f t="shared" si="30"/>
        <v>4.2949672959999999E-3</v>
      </c>
      <c r="I115" s="21">
        <f t="shared" si="31"/>
        <v>3.0064640007913114E-3</v>
      </c>
      <c r="J115" s="21">
        <f t="shared" si="32"/>
        <v>7.6965478420257575E-4</v>
      </c>
      <c r="K115" s="21">
        <f t="shared" ca="1" si="24"/>
        <v>8.6331183715582065E-3</v>
      </c>
      <c r="L115" s="21">
        <f t="shared" ca="1" si="33"/>
        <v>9.6775845254085062E-6</v>
      </c>
      <c r="M115" s="21">
        <f t="shared" ca="1" si="25"/>
        <v>7715.9703379221492</v>
      </c>
      <c r="N115" s="21">
        <f t="shared" ca="1" si="26"/>
        <v>57125.893935743188</v>
      </c>
      <c r="O115" s="21">
        <f t="shared" ca="1" si="27"/>
        <v>126679.87533886585</v>
      </c>
      <c r="P115">
        <f t="shared" ca="1" si="34"/>
        <v>3.1108816315328532E-3</v>
      </c>
    </row>
    <row r="116" spans="1:16" x14ac:dyDescent="0.2">
      <c r="A116" s="111">
        <v>2609</v>
      </c>
      <c r="B116" s="111">
        <v>3.5140999971190467E-3</v>
      </c>
      <c r="D116" s="112">
        <f t="shared" si="22"/>
        <v>0.26090000000000002</v>
      </c>
      <c r="E116" s="112">
        <f t="shared" si="23"/>
        <v>3.5140999971190467E-3</v>
      </c>
      <c r="F116" s="21">
        <f t="shared" si="28"/>
        <v>6.8068810000000007E-2</v>
      </c>
      <c r="G116" s="21">
        <f t="shared" si="29"/>
        <v>1.7759152529000004E-2</v>
      </c>
      <c r="H116" s="21">
        <f t="shared" si="30"/>
        <v>4.6333628948161008E-3</v>
      </c>
      <c r="I116" s="21">
        <f t="shared" si="31"/>
        <v>9.1682868924835941E-4</v>
      </c>
      <c r="J116" s="21">
        <f t="shared" si="32"/>
        <v>2.3920060502489698E-4</v>
      </c>
      <c r="K116" s="21">
        <f t="shared" ca="1" si="24"/>
        <v>8.7639427400009896E-3</v>
      </c>
      <c r="L116" s="21">
        <f t="shared" ca="1" si="33"/>
        <v>2.7560848824990202E-5</v>
      </c>
      <c r="M116" s="21">
        <f t="shared" ca="1" si="25"/>
        <v>7584.7251897424103</v>
      </c>
      <c r="N116" s="21">
        <f t="shared" ca="1" si="26"/>
        <v>59253.271309555828</v>
      </c>
      <c r="O116" s="21">
        <f t="shared" ca="1" si="27"/>
        <v>127866.01533950813</v>
      </c>
      <c r="P116">
        <f t="shared" ca="1" si="34"/>
        <v>-5.2498427428819428E-3</v>
      </c>
    </row>
    <row r="117" spans="1:16" x14ac:dyDescent="0.2">
      <c r="A117" s="111">
        <v>2609</v>
      </c>
      <c r="B117" s="111">
        <v>4.3140999987372197E-3</v>
      </c>
      <c r="D117" s="112">
        <f t="shared" ref="D117:D123" si="35">A117/A$18</f>
        <v>0.26090000000000002</v>
      </c>
      <c r="E117" s="112">
        <f t="shared" ref="E117:E123" si="36">B117/B$18</f>
        <v>4.3140999987372197E-3</v>
      </c>
      <c r="F117" s="21">
        <f t="shared" si="28"/>
        <v>6.8068810000000007E-2</v>
      </c>
      <c r="G117" s="21">
        <f t="shared" si="29"/>
        <v>1.7759152529000004E-2</v>
      </c>
      <c r="H117" s="21">
        <f t="shared" si="30"/>
        <v>4.6333628948161008E-3</v>
      </c>
      <c r="I117" s="21">
        <f t="shared" si="31"/>
        <v>1.1255486896705408E-3</v>
      </c>
      <c r="J117" s="21">
        <f t="shared" si="32"/>
        <v>2.9365565313504413E-4</v>
      </c>
      <c r="K117" s="21">
        <f t="shared" ref="K117:K148" ca="1" si="37">+E$4+E$5*D117+E$6*D117^2</f>
        <v>8.7639427400009896E-3</v>
      </c>
      <c r="L117" s="21">
        <f t="shared" ca="1" si="33"/>
        <v>1.9801100421977861E-5</v>
      </c>
      <c r="M117" s="21">
        <f t="shared" ref="M117:M123" ca="1" si="38">(M$1-M$2*D117+M$3*F117)^2</f>
        <v>7584.7251897424103</v>
      </c>
      <c r="N117" s="21">
        <f t="shared" ref="N117:N123" ca="1" si="39">(-M$2+M$4*D117-M$5*F117)^2</f>
        <v>59253.271309555828</v>
      </c>
      <c r="O117" s="21">
        <f t="shared" ref="O117:O123" ca="1" si="40">+(M$3-D117*M$5+F117*M$6)^2</f>
        <v>127866.01533950813</v>
      </c>
      <c r="P117">
        <f t="shared" ca="1" si="34"/>
        <v>-4.4498427412637698E-3</v>
      </c>
    </row>
    <row r="118" spans="1:16" x14ac:dyDescent="0.2">
      <c r="A118" s="111">
        <v>2609</v>
      </c>
      <c r="B118" s="111">
        <v>6.514100001368206E-3</v>
      </c>
      <c r="D118" s="112">
        <f t="shared" si="35"/>
        <v>0.26090000000000002</v>
      </c>
      <c r="E118" s="112">
        <f t="shared" si="36"/>
        <v>6.514100001368206E-3</v>
      </c>
      <c r="F118" s="21">
        <f t="shared" si="28"/>
        <v>6.8068810000000007E-2</v>
      </c>
      <c r="G118" s="21">
        <f t="shared" si="29"/>
        <v>1.7759152529000004E-2</v>
      </c>
      <c r="H118" s="21">
        <f t="shared" si="30"/>
        <v>4.6333628948161008E-3</v>
      </c>
      <c r="I118" s="21">
        <f t="shared" si="31"/>
        <v>1.699528690356965E-3</v>
      </c>
      <c r="J118" s="21">
        <f t="shared" si="32"/>
        <v>4.434070353141322E-4</v>
      </c>
      <c r="K118" s="21">
        <f t="shared" ca="1" si="37"/>
        <v>8.7639427400009896E-3</v>
      </c>
      <c r="L118" s="21">
        <f t="shared" ca="1" si="33"/>
        <v>5.0617923485786634E-6</v>
      </c>
      <c r="M118" s="21">
        <f t="shared" ca="1" si="38"/>
        <v>7584.7251897424103</v>
      </c>
      <c r="N118" s="21">
        <f t="shared" ca="1" si="39"/>
        <v>59253.271309555828</v>
      </c>
      <c r="O118" s="21">
        <f t="shared" ca="1" si="40"/>
        <v>127866.01533950813</v>
      </c>
      <c r="P118">
        <f t="shared" ca="1" si="34"/>
        <v>-2.2498427386327836E-3</v>
      </c>
    </row>
    <row r="119" spans="1:16" x14ac:dyDescent="0.2">
      <c r="A119" s="111">
        <v>2624</v>
      </c>
      <c r="B119" s="111">
        <v>1.3759999274043366E-4</v>
      </c>
      <c r="D119" s="112">
        <f t="shared" si="35"/>
        <v>0.26240000000000002</v>
      </c>
      <c r="E119" s="112">
        <f t="shared" si="36"/>
        <v>1.3759999274043366E-4</v>
      </c>
      <c r="F119" s="21">
        <f t="shared" si="28"/>
        <v>6.8853760000000014E-2</v>
      </c>
      <c r="G119" s="21">
        <f t="shared" si="29"/>
        <v>1.8067226624000007E-2</v>
      </c>
      <c r="H119" s="21">
        <f t="shared" si="30"/>
        <v>4.740840266137602E-3</v>
      </c>
      <c r="I119" s="21">
        <f t="shared" si="31"/>
        <v>3.6106238095089796E-5</v>
      </c>
      <c r="J119" s="21">
        <f t="shared" si="32"/>
        <v>9.4742768761515626E-6</v>
      </c>
      <c r="K119" s="21">
        <f t="shared" ca="1" si="37"/>
        <v>8.8036224524806594E-3</v>
      </c>
      <c r="L119" s="21">
        <f t="shared" ca="1" si="33"/>
        <v>7.5099945272722029E-5</v>
      </c>
      <c r="M119" s="21">
        <f t="shared" ca="1" si="38"/>
        <v>7544.6485028291199</v>
      </c>
      <c r="N119" s="21">
        <f t="shared" ca="1" si="39"/>
        <v>59903.622787660439</v>
      </c>
      <c r="O119" s="21">
        <f t="shared" ca="1" si="40"/>
        <v>128210.22249980397</v>
      </c>
      <c r="P119">
        <f t="shared" ca="1" si="34"/>
        <v>-8.6660224597402257E-3</v>
      </c>
    </row>
    <row r="120" spans="1:16" x14ac:dyDescent="0.2">
      <c r="A120" s="111">
        <v>2665</v>
      </c>
      <c r="B120" s="111">
        <v>2.1085000043967739E-3</v>
      </c>
      <c r="D120" s="112">
        <f t="shared" si="35"/>
        <v>0.26650000000000001</v>
      </c>
      <c r="E120" s="112">
        <f t="shared" si="36"/>
        <v>2.1085000043967739E-3</v>
      </c>
      <c r="F120" s="21">
        <f t="shared" si="28"/>
        <v>7.1022250000000009E-2</v>
      </c>
      <c r="G120" s="21">
        <f t="shared" si="29"/>
        <v>1.8927429625000002E-2</v>
      </c>
      <c r="H120" s="21">
        <f t="shared" si="30"/>
        <v>5.0441599950625015E-3</v>
      </c>
      <c r="I120" s="21">
        <f t="shared" si="31"/>
        <v>5.6191525117174027E-4</v>
      </c>
      <c r="J120" s="21">
        <f t="shared" si="32"/>
        <v>1.497504144372688E-4</v>
      </c>
      <c r="K120" s="21">
        <f t="shared" ca="1" si="37"/>
        <v>8.9111988520433581E-3</v>
      </c>
      <c r="L120" s="21">
        <f t="shared" ca="1" si="33"/>
        <v>4.6276711611772162E-5</v>
      </c>
      <c r="M120" s="21">
        <f t="shared" ca="1" si="38"/>
        <v>7435.3512151354871</v>
      </c>
      <c r="N120" s="21">
        <f t="shared" ca="1" si="39"/>
        <v>61678.340043245444</v>
      </c>
      <c r="O120" s="21">
        <f t="shared" ca="1" si="40"/>
        <v>129105.40884232761</v>
      </c>
      <c r="P120">
        <f t="shared" ca="1" si="34"/>
        <v>-6.8026988476465843E-3</v>
      </c>
    </row>
    <row r="121" spans="1:16" x14ac:dyDescent="0.2">
      <c r="A121" s="111">
        <v>2687</v>
      </c>
      <c r="B121" s="111">
        <v>2.7556299995922018E-2</v>
      </c>
      <c r="D121" s="112">
        <f t="shared" si="35"/>
        <v>0.26869999999999999</v>
      </c>
      <c r="E121" s="112">
        <f t="shared" si="36"/>
        <v>2.7556299995922018E-2</v>
      </c>
      <c r="F121" s="21">
        <f t="shared" si="28"/>
        <v>7.2199689999999997E-2</v>
      </c>
      <c r="G121" s="21">
        <f t="shared" si="29"/>
        <v>1.9400056702999997E-2</v>
      </c>
      <c r="H121" s="21">
        <f t="shared" si="30"/>
        <v>5.2127952360960994E-3</v>
      </c>
      <c r="I121" s="21">
        <f t="shared" si="31"/>
        <v>7.4043778089042459E-3</v>
      </c>
      <c r="J121" s="21">
        <f t="shared" si="32"/>
        <v>1.989556317252571E-3</v>
      </c>
      <c r="K121" s="21">
        <f t="shared" ca="1" si="37"/>
        <v>8.968390660099617E-3</v>
      </c>
      <c r="L121" s="21">
        <f t="shared" ca="1" si="33"/>
        <v>3.4551037347675358E-4</v>
      </c>
      <c r="M121" s="21">
        <f t="shared" ca="1" si="38"/>
        <v>7376.8546724235694</v>
      </c>
      <c r="N121" s="21">
        <f t="shared" ca="1" si="39"/>
        <v>62628.521071695744</v>
      </c>
      <c r="O121" s="21">
        <f t="shared" ca="1" si="40"/>
        <v>129558.00698408212</v>
      </c>
      <c r="P121">
        <f t="shared" ca="1" si="34"/>
        <v>1.8587909335822401E-2</v>
      </c>
    </row>
    <row r="122" spans="1:16" x14ac:dyDescent="0.2">
      <c r="A122" s="111">
        <v>2693</v>
      </c>
      <c r="B122" s="111">
        <v>-6.5943000008701347E-3</v>
      </c>
      <c r="D122" s="112">
        <f t="shared" si="35"/>
        <v>0.26929999999999998</v>
      </c>
      <c r="E122" s="112">
        <f t="shared" si="36"/>
        <v>-6.5943000008701347E-3</v>
      </c>
      <c r="F122" s="21">
        <f t="shared" si="28"/>
        <v>7.2522489999999995E-2</v>
      </c>
      <c r="G122" s="21">
        <f t="shared" si="29"/>
        <v>1.9530306556999999E-2</v>
      </c>
      <c r="H122" s="21">
        <f t="shared" si="30"/>
        <v>5.2595115558000992E-3</v>
      </c>
      <c r="I122" s="21">
        <f t="shared" si="31"/>
        <v>-1.7758449902343272E-3</v>
      </c>
      <c r="J122" s="21">
        <f t="shared" si="32"/>
        <v>-4.7823505587010431E-4</v>
      </c>
      <c r="K122" s="21">
        <f t="shared" ca="1" si="37"/>
        <v>8.9839239273076486E-3</v>
      </c>
      <c r="L122" s="21">
        <f t="shared" ca="1" si="33"/>
        <v>2.4268106075645086E-4</v>
      </c>
      <c r="M122" s="21">
        <f t="shared" ca="1" si="38"/>
        <v>7360.9196140272052</v>
      </c>
      <c r="N122" s="21">
        <f t="shared" ca="1" si="39"/>
        <v>62887.368894198393</v>
      </c>
      <c r="O122" s="21">
        <f t="shared" ca="1" si="40"/>
        <v>129678.06008390195</v>
      </c>
      <c r="P122">
        <f t="shared" ca="1" si="34"/>
        <v>-1.5578223928177783E-2</v>
      </c>
    </row>
    <row r="123" spans="1:16" x14ac:dyDescent="0.2">
      <c r="A123" s="111">
        <v>2708</v>
      </c>
      <c r="B123" s="111">
        <v>1.8029199993179645E-2</v>
      </c>
      <c r="D123" s="112">
        <f t="shared" si="35"/>
        <v>0.27079999999999999</v>
      </c>
      <c r="E123" s="112">
        <f t="shared" si="36"/>
        <v>1.8029199993179645E-2</v>
      </c>
      <c r="F123" s="21">
        <f t="shared" si="28"/>
        <v>7.3332639999999991E-2</v>
      </c>
      <c r="G123" s="21">
        <f t="shared" si="29"/>
        <v>1.9858478911999995E-2</v>
      </c>
      <c r="H123" s="21">
        <f t="shared" si="30"/>
        <v>5.377676089369599E-3</v>
      </c>
      <c r="I123" s="21">
        <f t="shared" si="31"/>
        <v>4.8823073581530478E-3</v>
      </c>
      <c r="J123" s="21">
        <f t="shared" si="32"/>
        <v>1.3221288325878453E-3</v>
      </c>
      <c r="K123" s="21">
        <f t="shared" ca="1" si="37"/>
        <v>9.0226361604049312E-3</v>
      </c>
      <c r="L123" s="21">
        <f t="shared" ca="1" si="33"/>
        <v>8.1118192073845549E-5</v>
      </c>
      <c r="M123" s="21">
        <f t="shared" ca="1" si="38"/>
        <v>7321.117051551907</v>
      </c>
      <c r="N123" s="21">
        <f t="shared" ca="1" si="39"/>
        <v>63533.897067652244</v>
      </c>
      <c r="O123" s="21">
        <f t="shared" ca="1" si="40"/>
        <v>129971.82818296153</v>
      </c>
      <c r="P123">
        <f t="shared" ca="1" si="34"/>
        <v>9.0065638327747142E-3</v>
      </c>
    </row>
    <row r="124" spans="1:16" x14ac:dyDescent="0.2">
      <c r="A124" s="113">
        <v>2721</v>
      </c>
      <c r="B124" s="113">
        <v>-1.4297100002295338E-2</v>
      </c>
      <c r="D124" s="112">
        <f t="shared" ref="D124:D176" si="41">A124/A$18</f>
        <v>0.27210000000000001</v>
      </c>
      <c r="E124" s="112">
        <f t="shared" ref="E124:E176" si="42">B124/B$18</f>
        <v>-1.4297100002295338E-2</v>
      </c>
      <c r="F124" s="21">
        <f t="shared" ref="F124:F176" si="43">D124*D124</f>
        <v>7.4038409999999999E-2</v>
      </c>
      <c r="G124" s="21">
        <f t="shared" ref="G124:G176" si="44">D124*F124</f>
        <v>2.0145851361E-2</v>
      </c>
      <c r="H124" s="21">
        <f t="shared" ref="H124:H176" si="45">F124*F124</f>
        <v>5.4816861553280997E-3</v>
      </c>
      <c r="I124" s="21">
        <f t="shared" ref="I124:I176" si="46">E124*D124</f>
        <v>-3.8902409106245615E-3</v>
      </c>
      <c r="J124" s="21">
        <f t="shared" ref="J124:J176" si="47">I124*D124</f>
        <v>-1.0585345517809433E-3</v>
      </c>
      <c r="K124" s="21">
        <f t="shared" ca="1" si="37"/>
        <v>9.0560470154006766E-3</v>
      </c>
      <c r="L124" s="21">
        <f t="shared" ref="L124:L176" ca="1" si="48">+(K124-E124)^2</f>
        <v>5.4536947563012435E-4</v>
      </c>
      <c r="M124" s="21">
        <f t="shared" ref="M124:M176" ca="1" si="49">(M$1-M$2*D124+M$3*F124)^2</f>
        <v>7286.6623249264103</v>
      </c>
      <c r="N124" s="21">
        <f t="shared" ref="N124:N176" ca="1" si="50">(-M$2+M$4*D124-M$5*F124)^2</f>
        <v>64093.499033500295</v>
      </c>
      <c r="O124" s="21">
        <f t="shared" ref="O124:O176" ca="1" si="51">+(M$3-D124*M$5+F124*M$6)^2</f>
        <v>130219.0529975283</v>
      </c>
      <c r="P124">
        <f t="shared" ref="P124:P176" ca="1" si="52">+E124-K124</f>
        <v>-2.3353147017696016E-2</v>
      </c>
    </row>
    <row r="125" spans="1:16" x14ac:dyDescent="0.2">
      <c r="A125" s="113">
        <v>2721</v>
      </c>
      <c r="B125" s="113">
        <v>-1.4297100002295338E-2</v>
      </c>
      <c r="D125" s="112">
        <f t="shared" si="41"/>
        <v>0.27210000000000001</v>
      </c>
      <c r="E125" s="112">
        <f t="shared" si="42"/>
        <v>-1.4297100002295338E-2</v>
      </c>
      <c r="F125" s="21">
        <f t="shared" si="43"/>
        <v>7.4038409999999999E-2</v>
      </c>
      <c r="G125" s="21">
        <f t="shared" si="44"/>
        <v>2.0145851361E-2</v>
      </c>
      <c r="H125" s="21">
        <f t="shared" si="45"/>
        <v>5.4816861553280997E-3</v>
      </c>
      <c r="I125" s="21">
        <f t="shared" si="46"/>
        <v>-3.8902409106245615E-3</v>
      </c>
      <c r="J125" s="21">
        <f t="shared" si="47"/>
        <v>-1.0585345517809433E-3</v>
      </c>
      <c r="K125" s="21">
        <f t="shared" ca="1" si="37"/>
        <v>9.0560470154006766E-3</v>
      </c>
      <c r="L125" s="21">
        <f t="shared" ca="1" si="48"/>
        <v>5.4536947563012435E-4</v>
      </c>
      <c r="M125" s="21">
        <f t="shared" ca="1" si="49"/>
        <v>7286.6623249264103</v>
      </c>
      <c r="N125" s="21">
        <f t="shared" ca="1" si="50"/>
        <v>64093.499033500295</v>
      </c>
      <c r="O125" s="21">
        <f t="shared" ca="1" si="51"/>
        <v>130219.0529975283</v>
      </c>
      <c r="P125">
        <f t="shared" ca="1" si="52"/>
        <v>-2.3353147017696016E-2</v>
      </c>
    </row>
    <row r="126" spans="1:16" x14ac:dyDescent="0.2">
      <c r="A126" s="113">
        <v>2722</v>
      </c>
      <c r="B126" s="113">
        <v>2.8677799993602093E-2</v>
      </c>
      <c r="D126" s="112">
        <f t="shared" si="41"/>
        <v>0.2722</v>
      </c>
      <c r="E126" s="112">
        <f t="shared" si="42"/>
        <v>2.8677799993602093E-2</v>
      </c>
      <c r="F126" s="21">
        <f t="shared" si="43"/>
        <v>7.4092839999999993E-2</v>
      </c>
      <c r="G126" s="21">
        <f t="shared" si="44"/>
        <v>2.0168071047999999E-2</v>
      </c>
      <c r="H126" s="21">
        <f t="shared" si="45"/>
        <v>5.4897489392655993E-3</v>
      </c>
      <c r="I126" s="21">
        <f t="shared" si="46"/>
        <v>7.8060971582584893E-3</v>
      </c>
      <c r="J126" s="21">
        <f t="shared" si="47"/>
        <v>2.1248196464779606E-3</v>
      </c>
      <c r="K126" s="21">
        <f t="shared" ca="1" si="37"/>
        <v>9.0586117062841226E-3</v>
      </c>
      <c r="L126" s="21">
        <f t="shared" ca="1" si="48"/>
        <v>3.8491254905323463E-4</v>
      </c>
      <c r="M126" s="21">
        <f t="shared" ca="1" si="49"/>
        <v>7284.0135410379962</v>
      </c>
      <c r="N126" s="21">
        <f t="shared" ca="1" si="50"/>
        <v>64136.516274922855</v>
      </c>
      <c r="O126" s="21">
        <f t="shared" ca="1" si="51"/>
        <v>130237.78604010947</v>
      </c>
      <c r="P126">
        <f t="shared" ca="1" si="52"/>
        <v>1.9619188287317971E-2</v>
      </c>
    </row>
    <row r="127" spans="1:16" x14ac:dyDescent="0.2">
      <c r="A127" s="113">
        <v>3008</v>
      </c>
      <c r="B127" s="113">
        <v>1.7499200002930593E-2</v>
      </c>
      <c r="D127" s="112">
        <f t="shared" si="41"/>
        <v>0.30080000000000001</v>
      </c>
      <c r="E127" s="112">
        <f t="shared" si="42"/>
        <v>1.7499200002930593E-2</v>
      </c>
      <c r="F127" s="21">
        <f t="shared" si="43"/>
        <v>9.0480640000000001E-2</v>
      </c>
      <c r="G127" s="21">
        <f t="shared" si="44"/>
        <v>2.7216576512000001E-2</v>
      </c>
      <c r="H127" s="21">
        <f t="shared" si="45"/>
        <v>8.1867462148096006E-3</v>
      </c>
      <c r="I127" s="21">
        <f t="shared" si="46"/>
        <v>5.2637593608815224E-3</v>
      </c>
      <c r="J127" s="21">
        <f t="shared" si="47"/>
        <v>1.583338815753162E-3</v>
      </c>
      <c r="K127" s="21">
        <f t="shared" ca="1" si="37"/>
        <v>9.7606003455110637E-3</v>
      </c>
      <c r="L127" s="21">
        <f t="shared" ca="1" si="48"/>
        <v>5.9885924657813655E-5</v>
      </c>
      <c r="M127" s="21">
        <f t="shared" ca="1" si="49"/>
        <v>6536.2981222755443</v>
      </c>
      <c r="N127" s="21">
        <f t="shared" ca="1" si="50"/>
        <v>76194.226256089096</v>
      </c>
      <c r="O127" s="21">
        <f t="shared" ca="1" si="51"/>
        <v>133897.37437025108</v>
      </c>
      <c r="P127">
        <f t="shared" ca="1" si="52"/>
        <v>7.7385996574195291E-3</v>
      </c>
    </row>
    <row r="128" spans="1:16" x14ac:dyDescent="0.2">
      <c r="A128" s="113">
        <v>3385</v>
      </c>
      <c r="B128" s="113">
        <v>1.8036499997833744E-2</v>
      </c>
      <c r="D128" s="112">
        <f t="shared" si="41"/>
        <v>0.33850000000000002</v>
      </c>
      <c r="E128" s="112">
        <f t="shared" si="42"/>
        <v>1.8036499997833744E-2</v>
      </c>
      <c r="F128" s="21">
        <f t="shared" si="43"/>
        <v>0.11458225000000001</v>
      </c>
      <c r="G128" s="21">
        <f t="shared" si="44"/>
        <v>3.8786091625000005E-2</v>
      </c>
      <c r="H128" s="21">
        <f t="shared" si="45"/>
        <v>1.3129092015062502E-2</v>
      </c>
      <c r="I128" s="21">
        <f t="shared" si="46"/>
        <v>6.1053552492667225E-3</v>
      </c>
      <c r="J128" s="21">
        <f t="shared" si="47"/>
        <v>2.0666627518767856E-3</v>
      </c>
      <c r="K128" s="21">
        <f t="shared" ca="1" si="37"/>
        <v>1.058998772095026E-2</v>
      </c>
      <c r="L128" s="21">
        <f t="shared" ca="1" si="48"/>
        <v>5.5450545089776443E-5</v>
      </c>
      <c r="M128" s="21">
        <f t="shared" ca="1" si="49"/>
        <v>5584.565835872173</v>
      </c>
      <c r="N128" s="21">
        <f t="shared" ca="1" si="50"/>
        <v>90875.631203329991</v>
      </c>
      <c r="O128" s="21">
        <f t="shared" ca="1" si="51"/>
        <v>133433.34699886452</v>
      </c>
      <c r="P128">
        <f t="shared" ca="1" si="52"/>
        <v>7.4465122768834838E-3</v>
      </c>
    </row>
    <row r="129" spans="1:16" x14ac:dyDescent="0.2">
      <c r="A129" s="113">
        <v>3449</v>
      </c>
      <c r="B129" s="113">
        <v>6.8300999992061406E-3</v>
      </c>
      <c r="D129" s="112">
        <f t="shared" si="41"/>
        <v>0.34489999999999998</v>
      </c>
      <c r="E129" s="112">
        <f t="shared" si="42"/>
        <v>6.8300999992061406E-3</v>
      </c>
      <c r="F129" s="21">
        <f t="shared" si="43"/>
        <v>0.11895600999999999</v>
      </c>
      <c r="G129" s="21">
        <f t="shared" si="44"/>
        <v>4.1027927848999994E-2</v>
      </c>
      <c r="H129" s="21">
        <f t="shared" si="45"/>
        <v>1.4150532315120097E-2</v>
      </c>
      <c r="I129" s="21">
        <f t="shared" si="46"/>
        <v>2.3557014897261979E-3</v>
      </c>
      <c r="J129" s="21">
        <f t="shared" si="47"/>
        <v>8.124814438065656E-4</v>
      </c>
      <c r="K129" s="21">
        <f t="shared" ca="1" si="37"/>
        <v>1.0719949808706004E-2</v>
      </c>
      <c r="L129" s="21">
        <f t="shared" ca="1" si="48"/>
        <v>1.5130931540466126E-5</v>
      </c>
      <c r="M129" s="21">
        <f t="shared" ca="1" si="49"/>
        <v>5427.320878979137</v>
      </c>
      <c r="N129" s="21">
        <f t="shared" ca="1" si="50"/>
        <v>93178.460014262833</v>
      </c>
      <c r="O129" s="21">
        <f t="shared" ca="1" si="51"/>
        <v>132755.61278267694</v>
      </c>
      <c r="P129">
        <f t="shared" ca="1" si="52"/>
        <v>-3.8898498094998638E-3</v>
      </c>
    </row>
    <row r="130" spans="1:16" x14ac:dyDescent="0.2">
      <c r="A130" s="113">
        <v>3449</v>
      </c>
      <c r="B130" s="113">
        <v>8.3301000049686991E-3</v>
      </c>
      <c r="D130" s="112">
        <f t="shared" si="41"/>
        <v>0.34489999999999998</v>
      </c>
      <c r="E130" s="112">
        <f t="shared" si="42"/>
        <v>8.3301000049686991E-3</v>
      </c>
      <c r="F130" s="21">
        <f t="shared" si="43"/>
        <v>0.11895600999999999</v>
      </c>
      <c r="G130" s="21">
        <f t="shared" si="44"/>
        <v>4.1027927848999994E-2</v>
      </c>
      <c r="H130" s="21">
        <f t="shared" si="45"/>
        <v>1.4150532315120097E-2</v>
      </c>
      <c r="I130" s="21">
        <f t="shared" si="46"/>
        <v>2.8730514917137042E-3</v>
      </c>
      <c r="J130" s="21">
        <f t="shared" si="47"/>
        <v>9.9091545949205658E-4</v>
      </c>
      <c r="K130" s="21">
        <f t="shared" ca="1" si="37"/>
        <v>1.0719949808706004E-2</v>
      </c>
      <c r="L130" s="21">
        <f t="shared" ca="1" si="48"/>
        <v>5.7113820844232368E-6</v>
      </c>
      <c r="M130" s="21">
        <f t="shared" ca="1" si="49"/>
        <v>5427.320878979137</v>
      </c>
      <c r="N130" s="21">
        <f t="shared" ca="1" si="50"/>
        <v>93178.460014262833</v>
      </c>
      <c r="O130" s="21">
        <f t="shared" ca="1" si="51"/>
        <v>132755.61278267694</v>
      </c>
      <c r="P130">
        <f t="shared" ca="1" si="52"/>
        <v>-2.3898498037373053E-3</v>
      </c>
    </row>
    <row r="131" spans="1:16" x14ac:dyDescent="0.2">
      <c r="A131" s="113">
        <v>3449</v>
      </c>
      <c r="B131" s="113">
        <v>8.3301000049686991E-3</v>
      </c>
      <c r="D131" s="112">
        <f t="shared" si="41"/>
        <v>0.34489999999999998</v>
      </c>
      <c r="E131" s="112">
        <f t="shared" si="42"/>
        <v>8.3301000049686991E-3</v>
      </c>
      <c r="F131" s="21">
        <f t="shared" si="43"/>
        <v>0.11895600999999999</v>
      </c>
      <c r="G131" s="21">
        <f t="shared" si="44"/>
        <v>4.1027927848999994E-2</v>
      </c>
      <c r="H131" s="21">
        <f t="shared" si="45"/>
        <v>1.4150532315120097E-2</v>
      </c>
      <c r="I131" s="21">
        <f t="shared" si="46"/>
        <v>2.8730514917137042E-3</v>
      </c>
      <c r="J131" s="21">
        <f t="shared" si="47"/>
        <v>9.9091545949205658E-4</v>
      </c>
      <c r="K131" s="21">
        <f t="shared" ca="1" si="37"/>
        <v>1.0719949808706004E-2</v>
      </c>
      <c r="L131" s="21">
        <f t="shared" ca="1" si="48"/>
        <v>5.7113820844232368E-6</v>
      </c>
      <c r="M131" s="21">
        <f t="shared" ca="1" si="49"/>
        <v>5427.320878979137</v>
      </c>
      <c r="N131" s="21">
        <f t="shared" ca="1" si="50"/>
        <v>93178.460014262833</v>
      </c>
      <c r="O131" s="21">
        <f t="shared" ca="1" si="51"/>
        <v>132755.61278267694</v>
      </c>
      <c r="P131">
        <f t="shared" ca="1" si="52"/>
        <v>-2.3898498037373053E-3</v>
      </c>
    </row>
    <row r="132" spans="1:16" x14ac:dyDescent="0.2">
      <c r="A132" s="113">
        <v>3449</v>
      </c>
      <c r="B132" s="113">
        <v>9.0301000018371269E-3</v>
      </c>
      <c r="D132" s="112">
        <f t="shared" si="41"/>
        <v>0.34489999999999998</v>
      </c>
      <c r="E132" s="112">
        <f t="shared" si="42"/>
        <v>9.0301000018371269E-3</v>
      </c>
      <c r="F132" s="21">
        <f t="shared" si="43"/>
        <v>0.11895600999999999</v>
      </c>
      <c r="G132" s="21">
        <f t="shared" si="44"/>
        <v>4.1027927848999994E-2</v>
      </c>
      <c r="H132" s="21">
        <f t="shared" si="45"/>
        <v>1.4150532315120097E-2</v>
      </c>
      <c r="I132" s="21">
        <f t="shared" si="46"/>
        <v>3.114481490633625E-3</v>
      </c>
      <c r="J132" s="21">
        <f t="shared" si="47"/>
        <v>1.0741846661195373E-3</v>
      </c>
      <c r="K132" s="21">
        <f t="shared" ca="1" si="37"/>
        <v>1.0719949808706004E-2</v>
      </c>
      <c r="L132" s="21">
        <f t="shared" ca="1" si="48"/>
        <v>2.8555923697747827E-6</v>
      </c>
      <c r="M132" s="21">
        <f t="shared" ca="1" si="49"/>
        <v>5427.320878979137</v>
      </c>
      <c r="N132" s="21">
        <f t="shared" ca="1" si="50"/>
        <v>93178.460014262833</v>
      </c>
      <c r="O132" s="21">
        <f t="shared" ca="1" si="51"/>
        <v>132755.61278267694</v>
      </c>
      <c r="P132">
        <f t="shared" ca="1" si="52"/>
        <v>-1.6898498068688775E-3</v>
      </c>
    </row>
    <row r="133" spans="1:16" x14ac:dyDescent="0.2">
      <c r="A133" s="113">
        <v>3512</v>
      </c>
      <c r="B133" s="113">
        <v>2.8848800000560004E-2</v>
      </c>
      <c r="D133" s="112">
        <f t="shared" si="41"/>
        <v>0.35120000000000001</v>
      </c>
      <c r="E133" s="112">
        <f t="shared" si="42"/>
        <v>2.8848800000560004E-2</v>
      </c>
      <c r="F133" s="21">
        <f t="shared" si="43"/>
        <v>0.12334144000000001</v>
      </c>
      <c r="G133" s="21">
        <f t="shared" si="44"/>
        <v>4.3317513728000002E-2</v>
      </c>
      <c r="H133" s="21">
        <f t="shared" si="45"/>
        <v>1.5213110821273603E-2</v>
      </c>
      <c r="I133" s="21">
        <f t="shared" si="46"/>
        <v>1.0131698560196674E-2</v>
      </c>
      <c r="J133" s="21">
        <f t="shared" si="47"/>
        <v>3.5582525343410719E-3</v>
      </c>
      <c r="K133" s="21">
        <f t="shared" ca="1" si="37"/>
        <v>1.0844809491801489E-2</v>
      </c>
      <c r="L133" s="21">
        <f t="shared" ca="1" si="48"/>
        <v>3.2414367423946671E-4</v>
      </c>
      <c r="M133" s="21">
        <f t="shared" ca="1" si="49"/>
        <v>5273.8572855302682</v>
      </c>
      <c r="N133" s="21">
        <f t="shared" ca="1" si="50"/>
        <v>95382.339984682039</v>
      </c>
      <c r="O133" s="21">
        <f t="shared" ca="1" si="51"/>
        <v>131921.0072533582</v>
      </c>
      <c r="P133">
        <f t="shared" ca="1" si="52"/>
        <v>1.8003990508758515E-2</v>
      </c>
    </row>
    <row r="134" spans="1:16" x14ac:dyDescent="0.2">
      <c r="A134" s="113">
        <v>3547</v>
      </c>
      <c r="B134" s="113">
        <v>2.097029999276856E-2</v>
      </c>
      <c r="D134" s="112">
        <f t="shared" si="41"/>
        <v>0.35470000000000002</v>
      </c>
      <c r="E134" s="112">
        <f t="shared" si="42"/>
        <v>2.097029999276856E-2</v>
      </c>
      <c r="F134" s="21">
        <f t="shared" si="43"/>
        <v>0.12581209000000002</v>
      </c>
      <c r="G134" s="21">
        <f t="shared" si="44"/>
        <v>4.462554832300001E-2</v>
      </c>
      <c r="H134" s="21">
        <f t="shared" si="45"/>
        <v>1.5828681990168104E-2</v>
      </c>
      <c r="I134" s="21">
        <f t="shared" si="46"/>
        <v>7.4381654074350085E-3</v>
      </c>
      <c r="J134" s="21">
        <f t="shared" si="47"/>
        <v>2.6383172700171977E-3</v>
      </c>
      <c r="K134" s="21">
        <f t="shared" ca="1" si="37"/>
        <v>1.0912859135472953E-2</v>
      </c>
      <c r="L134" s="21">
        <f t="shared" ca="1" si="48"/>
        <v>1.0115211659799899E-4</v>
      </c>
      <c r="M134" s="21">
        <f t="shared" ca="1" si="49"/>
        <v>5189.1813278684776</v>
      </c>
      <c r="N134" s="21">
        <f t="shared" ca="1" si="50"/>
        <v>96578.551671292618</v>
      </c>
      <c r="O134" s="21">
        <f t="shared" ca="1" si="51"/>
        <v>131386.122691503</v>
      </c>
      <c r="P134">
        <f t="shared" ca="1" si="52"/>
        <v>1.0057440857295607E-2</v>
      </c>
    </row>
    <row r="135" spans="1:16" x14ac:dyDescent="0.2">
      <c r="A135" s="113">
        <v>3603</v>
      </c>
      <c r="B135" s="113">
        <v>1.9564700000046287E-2</v>
      </c>
      <c r="D135" s="112">
        <f t="shared" si="41"/>
        <v>0.36030000000000001</v>
      </c>
      <c r="E135" s="112">
        <f t="shared" si="42"/>
        <v>1.9564700000046287E-2</v>
      </c>
      <c r="F135" s="21">
        <f t="shared" si="43"/>
        <v>0.12981609</v>
      </c>
      <c r="G135" s="21">
        <f t="shared" si="44"/>
        <v>4.6772737226999997E-2</v>
      </c>
      <c r="H135" s="21">
        <f t="shared" si="45"/>
        <v>1.68522172228881E-2</v>
      </c>
      <c r="I135" s="21">
        <f t="shared" si="46"/>
        <v>7.0491614100166777E-3</v>
      </c>
      <c r="J135" s="21">
        <f t="shared" si="47"/>
        <v>2.5398128560290092E-3</v>
      </c>
      <c r="K135" s="21">
        <f t="shared" ca="1" si="37"/>
        <v>1.1019782107040689E-2</v>
      </c>
      <c r="L135" s="21">
        <f t="shared" ca="1" si="48"/>
        <v>7.3015621798207221E-5</v>
      </c>
      <c r="M135" s="21">
        <f t="shared" ca="1" si="49"/>
        <v>5054.5834983888835</v>
      </c>
      <c r="N135" s="21">
        <f t="shared" ca="1" si="50"/>
        <v>98449.046072019511</v>
      </c>
      <c r="O135" s="21">
        <f t="shared" ca="1" si="51"/>
        <v>130425.45951453852</v>
      </c>
      <c r="P135">
        <f t="shared" ca="1" si="52"/>
        <v>8.5449178930055974E-3</v>
      </c>
    </row>
    <row r="136" spans="1:16" x14ac:dyDescent="0.2">
      <c r="A136" s="113">
        <v>3791</v>
      </c>
      <c r="B136" s="113">
        <v>1.4845899997453671E-2</v>
      </c>
      <c r="D136" s="112">
        <f t="shared" si="41"/>
        <v>0.37909999999999999</v>
      </c>
      <c r="E136" s="112">
        <f t="shared" si="42"/>
        <v>1.4845899997453671E-2</v>
      </c>
      <c r="F136" s="21">
        <f t="shared" si="43"/>
        <v>0.14371681</v>
      </c>
      <c r="G136" s="21">
        <f t="shared" si="44"/>
        <v>5.4483042671000001E-2</v>
      </c>
      <c r="H136" s="21">
        <f t="shared" si="45"/>
        <v>2.06545214765761E-2</v>
      </c>
      <c r="I136" s="21">
        <f t="shared" si="46"/>
        <v>5.6280806890346867E-3</v>
      </c>
      <c r="J136" s="21">
        <f t="shared" si="47"/>
        <v>2.1336053892130496E-3</v>
      </c>
      <c r="K136" s="21">
        <f t="shared" ca="1" si="37"/>
        <v>1.1361126601181239E-2</v>
      </c>
      <c r="L136" s="21">
        <f t="shared" ca="1" si="48"/>
        <v>1.2143645623368097E-5</v>
      </c>
      <c r="M136" s="21">
        <f t="shared" ca="1" si="49"/>
        <v>4610.9964766762459</v>
      </c>
      <c r="N136" s="21">
        <f t="shared" ca="1" si="50"/>
        <v>104312.92993962737</v>
      </c>
      <c r="O136" s="21">
        <f t="shared" ca="1" si="51"/>
        <v>126275.89210131795</v>
      </c>
      <c r="P136">
        <f t="shared" ca="1" si="52"/>
        <v>3.4847733962724316E-3</v>
      </c>
    </row>
    <row r="137" spans="1:16" x14ac:dyDescent="0.2">
      <c r="A137" s="113">
        <v>3805</v>
      </c>
      <c r="B137" s="113">
        <v>1.5494499995838851E-2</v>
      </c>
      <c r="D137" s="112">
        <f t="shared" si="41"/>
        <v>0.3805</v>
      </c>
      <c r="E137" s="112">
        <f t="shared" si="42"/>
        <v>1.5494499995838851E-2</v>
      </c>
      <c r="F137" s="21">
        <f t="shared" si="43"/>
        <v>0.14478025</v>
      </c>
      <c r="G137" s="21">
        <f t="shared" si="44"/>
        <v>5.5088885125000001E-2</v>
      </c>
      <c r="H137" s="21">
        <f t="shared" si="45"/>
        <v>2.09613207900625E-2</v>
      </c>
      <c r="I137" s="21">
        <f t="shared" si="46"/>
        <v>5.8956572484166825E-3</v>
      </c>
      <c r="J137" s="21">
        <f t="shared" si="47"/>
        <v>2.2432975830225478E-3</v>
      </c>
      <c r="K137" s="21">
        <f t="shared" ca="1" si="37"/>
        <v>1.1385460145159036E-2</v>
      </c>
      <c r="L137" s="21">
        <f t="shared" ca="1" si="48"/>
        <v>1.6884208494474794E-5</v>
      </c>
      <c r="M137" s="21">
        <f t="shared" ca="1" si="49"/>
        <v>4578.4921832289119</v>
      </c>
      <c r="N137" s="21">
        <f t="shared" ca="1" si="50"/>
        <v>104722.65056105172</v>
      </c>
      <c r="O137" s="21">
        <f t="shared" ca="1" si="51"/>
        <v>125911.16939932143</v>
      </c>
      <c r="P137">
        <f t="shared" ca="1" si="52"/>
        <v>4.1090398506798149E-3</v>
      </c>
    </row>
    <row r="138" spans="1:16" x14ac:dyDescent="0.2">
      <c r="A138" s="113">
        <v>3960</v>
      </c>
      <c r="B138" s="113">
        <v>1.1603999999351799E-2</v>
      </c>
      <c r="D138" s="112">
        <f t="shared" si="41"/>
        <v>0.39600000000000002</v>
      </c>
      <c r="E138" s="112">
        <f t="shared" si="42"/>
        <v>1.1603999999351799E-2</v>
      </c>
      <c r="F138" s="21">
        <f t="shared" si="43"/>
        <v>0.15681600000000001</v>
      </c>
      <c r="G138" s="21">
        <f t="shared" si="44"/>
        <v>6.2099136000000006E-2</v>
      </c>
      <c r="H138" s="21">
        <f t="shared" si="45"/>
        <v>2.4591257856000002E-2</v>
      </c>
      <c r="I138" s="21">
        <f t="shared" si="46"/>
        <v>4.5951839997433125E-3</v>
      </c>
      <c r="J138" s="21">
        <f t="shared" si="47"/>
        <v>1.8196928638983519E-3</v>
      </c>
      <c r="K138" s="21">
        <f t="shared" ca="1" si="37"/>
        <v>1.1644810444587169E-2</v>
      </c>
      <c r="L138" s="21">
        <f t="shared" ca="1" si="48"/>
        <v>1.6654924403091262E-9</v>
      </c>
      <c r="M138" s="21">
        <f t="shared" ca="1" si="49"/>
        <v>4223.76046120512</v>
      </c>
      <c r="N138" s="21">
        <f t="shared" ca="1" si="50"/>
        <v>108993.49040521885</v>
      </c>
      <c r="O138" s="21">
        <f t="shared" ca="1" si="51"/>
        <v>121376.81858301545</v>
      </c>
      <c r="P138">
        <f t="shared" ca="1" si="52"/>
        <v>-4.0810445235369905E-5</v>
      </c>
    </row>
    <row r="139" spans="1:16" x14ac:dyDescent="0.2">
      <c r="A139" s="113">
        <v>4246</v>
      </c>
      <c r="B139" s="113">
        <v>4.4253999949432909E-3</v>
      </c>
      <c r="D139" s="112">
        <f t="shared" si="41"/>
        <v>0.42459999999999998</v>
      </c>
      <c r="E139" s="112">
        <f t="shared" si="42"/>
        <v>4.4253999949432909E-3</v>
      </c>
      <c r="F139" s="21">
        <f t="shared" si="43"/>
        <v>0.18028515999999997</v>
      </c>
      <c r="G139" s="21">
        <f t="shared" si="44"/>
        <v>7.6549078935999978E-2</v>
      </c>
      <c r="H139" s="21">
        <f t="shared" si="45"/>
        <v>3.2502738916225592E-2</v>
      </c>
      <c r="I139" s="21">
        <f t="shared" si="46"/>
        <v>1.8790248378529211E-3</v>
      </c>
      <c r="J139" s="21">
        <f t="shared" si="47"/>
        <v>7.9783394615235022E-4</v>
      </c>
      <c r="K139" s="21">
        <f t="shared" ca="1" si="37"/>
        <v>1.207493123463705E-2</v>
      </c>
      <c r="L139" s="21">
        <f t="shared" ca="1" si="48"/>
        <v>5.8515328187050735E-5</v>
      </c>
      <c r="M139" s="21">
        <f t="shared" ca="1" si="49"/>
        <v>3595.4473941543752</v>
      </c>
      <c r="N139" s="21">
        <f t="shared" ca="1" si="50"/>
        <v>115512.37868258855</v>
      </c>
      <c r="O139" s="21">
        <f t="shared" ca="1" si="51"/>
        <v>110772.46137931469</v>
      </c>
      <c r="P139">
        <f t="shared" ca="1" si="52"/>
        <v>-7.649531239693759E-3</v>
      </c>
    </row>
    <row r="140" spans="1:16" x14ac:dyDescent="0.2">
      <c r="A140" s="113">
        <v>4757</v>
      </c>
      <c r="B140" s="113">
        <v>1.759930000116583E-2</v>
      </c>
      <c r="D140" s="112">
        <f t="shared" si="41"/>
        <v>0.47570000000000001</v>
      </c>
      <c r="E140" s="112">
        <f t="shared" si="42"/>
        <v>1.759930000116583E-2</v>
      </c>
      <c r="F140" s="21">
        <f t="shared" si="43"/>
        <v>0.22629049000000001</v>
      </c>
      <c r="G140" s="21">
        <f t="shared" si="44"/>
        <v>0.10764638609300001</v>
      </c>
      <c r="H140" s="21">
        <f t="shared" si="45"/>
        <v>5.1207385864440104E-2</v>
      </c>
      <c r="I140" s="21">
        <f t="shared" si="46"/>
        <v>8.3719870105545859E-3</v>
      </c>
      <c r="J140" s="21">
        <f t="shared" si="47"/>
        <v>3.9825542209208165E-3</v>
      </c>
      <c r="K140" s="21">
        <f t="shared" ca="1" si="37"/>
        <v>1.2687075659703364E-2</v>
      </c>
      <c r="L140" s="21">
        <f t="shared" ca="1" si="48"/>
        <v>2.4129947980856356E-5</v>
      </c>
      <c r="M140" s="21">
        <f t="shared" ca="1" si="49"/>
        <v>2567.7799932215503</v>
      </c>
      <c r="N140" s="21">
        <f t="shared" ca="1" si="50"/>
        <v>122324.09662760139</v>
      </c>
      <c r="O140" s="21">
        <f t="shared" ca="1" si="51"/>
        <v>85944.46799991568</v>
      </c>
      <c r="P140">
        <f t="shared" ca="1" si="52"/>
        <v>4.9122243414624657E-3</v>
      </c>
    </row>
    <row r="141" spans="1:16" x14ac:dyDescent="0.2">
      <c r="A141" s="113">
        <v>4862</v>
      </c>
      <c r="B141" s="113">
        <v>1.0963799999444745E-2</v>
      </c>
      <c r="D141" s="112">
        <f t="shared" si="41"/>
        <v>0.48620000000000002</v>
      </c>
      <c r="E141" s="112">
        <f t="shared" si="42"/>
        <v>1.0963799999444745E-2</v>
      </c>
      <c r="F141" s="21">
        <f t="shared" si="43"/>
        <v>0.23639044000000001</v>
      </c>
      <c r="G141" s="21">
        <f t="shared" si="44"/>
        <v>0.11493303192800002</v>
      </c>
      <c r="H141" s="21">
        <f t="shared" si="45"/>
        <v>5.5880440123393604E-2</v>
      </c>
      <c r="I141" s="21">
        <f t="shared" si="46"/>
        <v>5.3305995597300359E-3</v>
      </c>
      <c r="J141" s="21">
        <f t="shared" si="47"/>
        <v>2.5917375059407435E-3</v>
      </c>
      <c r="K141" s="21">
        <f t="shared" ca="1" si="37"/>
        <v>1.2788026789929782E-2</v>
      </c>
      <c r="L141" s="21">
        <f t="shared" ca="1" si="48"/>
        <v>3.3278033831233384E-6</v>
      </c>
      <c r="M141" s="21">
        <f t="shared" ca="1" si="49"/>
        <v>2373.2742233541512</v>
      </c>
      <c r="N141" s="21">
        <f t="shared" ca="1" si="50"/>
        <v>122910.63238998846</v>
      </c>
      <c r="O141" s="21">
        <f t="shared" ca="1" si="51"/>
        <v>80163.374001680597</v>
      </c>
      <c r="P141">
        <f t="shared" ca="1" si="52"/>
        <v>-1.8242267904850368E-3</v>
      </c>
    </row>
    <row r="142" spans="1:16" x14ac:dyDescent="0.2">
      <c r="A142" s="113">
        <v>4869</v>
      </c>
      <c r="B142" s="113">
        <v>-1.2119000020902604E-3</v>
      </c>
      <c r="D142" s="112">
        <f t="shared" si="41"/>
        <v>0.4869</v>
      </c>
      <c r="E142" s="112">
        <f t="shared" si="42"/>
        <v>-1.2119000020902604E-3</v>
      </c>
      <c r="F142" s="21">
        <f t="shared" si="43"/>
        <v>0.23707160999999999</v>
      </c>
      <c r="G142" s="21">
        <f t="shared" si="44"/>
        <v>0.115430166909</v>
      </c>
      <c r="H142" s="21">
        <f t="shared" si="45"/>
        <v>5.6202948267992096E-2</v>
      </c>
      <c r="I142" s="21">
        <f t="shared" si="46"/>
        <v>-5.9007411101774773E-4</v>
      </c>
      <c r="J142" s="21">
        <f t="shared" si="47"/>
        <v>-2.8730708465454134E-4</v>
      </c>
      <c r="K142" s="21">
        <f t="shared" ca="1" si="37"/>
        <v>1.2794455871692581E-2</v>
      </c>
      <c r="L142" s="21">
        <f t="shared" ca="1" si="48"/>
        <v>1.961780048630511E-4</v>
      </c>
      <c r="M142" s="21">
        <f t="shared" ca="1" si="49"/>
        <v>2360.522569235271</v>
      </c>
      <c r="N142" s="21">
        <f t="shared" ca="1" si="50"/>
        <v>122939.65139185279</v>
      </c>
      <c r="O142" s="21">
        <f t="shared" ca="1" si="51"/>
        <v>79772.238801334155</v>
      </c>
      <c r="P142">
        <f t="shared" ca="1" si="52"/>
        <v>-1.4006355873782841E-2</v>
      </c>
    </row>
    <row r="143" spans="1:16" x14ac:dyDescent="0.2">
      <c r="A143" s="113">
        <v>5113</v>
      </c>
      <c r="B143" s="113">
        <v>1.0663699998985976E-2</v>
      </c>
      <c r="D143" s="112">
        <f t="shared" si="41"/>
        <v>0.51129999999999998</v>
      </c>
      <c r="E143" s="112">
        <f t="shared" si="42"/>
        <v>1.0663699998985976E-2</v>
      </c>
      <c r="F143" s="21">
        <f t="shared" si="43"/>
        <v>0.26142768999999999</v>
      </c>
      <c r="G143" s="21">
        <f t="shared" si="44"/>
        <v>0.133667977897</v>
      </c>
      <c r="H143" s="21">
        <f t="shared" si="45"/>
        <v>6.8344437098736097E-2</v>
      </c>
      <c r="I143" s="21">
        <f t="shared" si="46"/>
        <v>5.4523498094815291E-3</v>
      </c>
      <c r="J143" s="21">
        <f t="shared" si="47"/>
        <v>2.7877864575879055E-3</v>
      </c>
      <c r="K143" s="21">
        <f t="shared" ca="1" si="37"/>
        <v>1.2995042472783486E-2</v>
      </c>
      <c r="L143" s="21">
        <f t="shared" ca="1" si="48"/>
        <v>5.4351577301322937E-6</v>
      </c>
      <c r="M143" s="21">
        <f t="shared" ca="1" si="49"/>
        <v>1933.4745662133707</v>
      </c>
      <c r="N143" s="21">
        <f t="shared" ca="1" si="50"/>
        <v>123159.76186213599</v>
      </c>
      <c r="O143" s="21">
        <f t="shared" ca="1" si="51"/>
        <v>65818.755647617305</v>
      </c>
      <c r="P143">
        <f t="shared" ca="1" si="52"/>
        <v>-2.33134247379751E-3</v>
      </c>
    </row>
    <row r="144" spans="1:16" x14ac:dyDescent="0.2">
      <c r="A144" s="113">
        <v>5141</v>
      </c>
      <c r="B144" s="113">
        <v>3.9609000014024787E-3</v>
      </c>
      <c r="D144" s="112">
        <f t="shared" si="41"/>
        <v>0.5141</v>
      </c>
      <c r="E144" s="112">
        <f t="shared" si="42"/>
        <v>3.9609000014024787E-3</v>
      </c>
      <c r="F144" s="21">
        <f t="shared" si="43"/>
        <v>0.26429881</v>
      </c>
      <c r="G144" s="21">
        <f t="shared" si="44"/>
        <v>0.13587601822100001</v>
      </c>
      <c r="H144" s="21">
        <f t="shared" si="45"/>
        <v>6.9853860967416095E-2</v>
      </c>
      <c r="I144" s="21">
        <f t="shared" si="46"/>
        <v>2.0362986907210144E-3</v>
      </c>
      <c r="J144" s="21">
        <f t="shared" si="47"/>
        <v>1.0468611568996734E-3</v>
      </c>
      <c r="K144" s="21">
        <f t="shared" ca="1" si="37"/>
        <v>1.3015136669645912E-2</v>
      </c>
      <c r="L144" s="21">
        <f t="shared" ca="1" si="48"/>
        <v>8.1979201644563943E-5</v>
      </c>
      <c r="M144" s="21">
        <f t="shared" ca="1" si="49"/>
        <v>1886.6976861287596</v>
      </c>
      <c r="N144" s="21">
        <f t="shared" ca="1" si="50"/>
        <v>123086.51918498802</v>
      </c>
      <c r="O144" s="21">
        <f t="shared" ca="1" si="51"/>
        <v>64190.944626362463</v>
      </c>
      <c r="P144">
        <f t="shared" ca="1" si="52"/>
        <v>-9.054236668243433E-3</v>
      </c>
    </row>
    <row r="145" spans="1:16" x14ac:dyDescent="0.2">
      <c r="A145" s="113">
        <v>5490</v>
      </c>
      <c r="B145" s="113">
        <v>4.001000001153443E-3</v>
      </c>
      <c r="D145" s="112">
        <f t="shared" si="41"/>
        <v>0.54900000000000004</v>
      </c>
      <c r="E145" s="112">
        <f t="shared" si="42"/>
        <v>4.001000001153443E-3</v>
      </c>
      <c r="F145" s="21">
        <f t="shared" si="43"/>
        <v>0.30140100000000003</v>
      </c>
      <c r="G145" s="21">
        <f t="shared" si="44"/>
        <v>0.16546914900000004</v>
      </c>
      <c r="H145" s="21">
        <f t="shared" si="45"/>
        <v>9.0842562801000018E-2</v>
      </c>
      <c r="I145" s="21">
        <f t="shared" si="46"/>
        <v>2.1965490006332403E-3</v>
      </c>
      <c r="J145" s="21">
        <f t="shared" si="47"/>
        <v>1.2059054013476491E-3</v>
      </c>
      <c r="K145" s="21">
        <f t="shared" ca="1" si="37"/>
        <v>1.321508292308634E-2</v>
      </c>
      <c r="L145" s="21">
        <f t="shared" ca="1" si="48"/>
        <v>8.4899324092255462E-5</v>
      </c>
      <c r="M145" s="21">
        <f t="shared" ca="1" si="49"/>
        <v>1344.4983495056274</v>
      </c>
      <c r="N145" s="21">
        <f t="shared" ca="1" si="50"/>
        <v>120486.04780676222</v>
      </c>
      <c r="O145" s="21">
        <f t="shared" ca="1" si="51"/>
        <v>43991.351594230204</v>
      </c>
      <c r="P145">
        <f t="shared" ca="1" si="52"/>
        <v>-9.2140829219328965E-3</v>
      </c>
    </row>
    <row r="146" spans="1:16" x14ac:dyDescent="0.2">
      <c r="A146" s="113">
        <v>5687</v>
      </c>
      <c r="B146" s="113">
        <v>1.0456299998622853E-2</v>
      </c>
      <c r="D146" s="112">
        <f t="shared" si="41"/>
        <v>0.56869999999999998</v>
      </c>
      <c r="E146" s="112">
        <f t="shared" si="42"/>
        <v>1.0456299998622853E-2</v>
      </c>
      <c r="F146" s="21">
        <f t="shared" si="43"/>
        <v>0.32341968999999998</v>
      </c>
      <c r="G146" s="21">
        <f t="shared" si="44"/>
        <v>0.18392877770299998</v>
      </c>
      <c r="H146" s="21">
        <f t="shared" si="45"/>
        <v>0.10460029587969609</v>
      </c>
      <c r="I146" s="21">
        <f t="shared" si="46"/>
        <v>5.9464978092168162E-3</v>
      </c>
      <c r="J146" s="21">
        <f t="shared" si="47"/>
        <v>3.3817733041016031E-3</v>
      </c>
      <c r="K146" s="21">
        <f t="shared" ca="1" si="37"/>
        <v>1.3286651322606938E-2</v>
      </c>
      <c r="L146" s="21">
        <f t="shared" ca="1" si="48"/>
        <v>8.01088861717846E-6</v>
      </c>
      <c r="M146" s="21">
        <f t="shared" ca="1" si="49"/>
        <v>1073.627124424931</v>
      </c>
      <c r="N146" s="21">
        <f t="shared" ca="1" si="50"/>
        <v>117666.41251729327</v>
      </c>
      <c r="O146" s="21">
        <f t="shared" ca="1" si="51"/>
        <v>33120.609663633921</v>
      </c>
      <c r="P146">
        <f t="shared" ca="1" si="52"/>
        <v>-2.8303513239840844E-3</v>
      </c>
    </row>
    <row r="147" spans="1:16" x14ac:dyDescent="0.2">
      <c r="A147" s="113">
        <v>5694</v>
      </c>
      <c r="B147" s="113">
        <v>9.2805999956908636E-3</v>
      </c>
      <c r="D147" s="112">
        <f t="shared" si="41"/>
        <v>0.56940000000000002</v>
      </c>
      <c r="E147" s="112">
        <f t="shared" si="42"/>
        <v>9.2805999956908636E-3</v>
      </c>
      <c r="F147" s="21">
        <f t="shared" si="43"/>
        <v>0.32421636000000004</v>
      </c>
      <c r="G147" s="21">
        <f t="shared" si="44"/>
        <v>0.18460879538400002</v>
      </c>
      <c r="H147" s="21">
        <f t="shared" si="45"/>
        <v>0.10511624809164963</v>
      </c>
      <c r="I147" s="21">
        <f t="shared" si="46"/>
        <v>5.2843736375463779E-3</v>
      </c>
      <c r="J147" s="21">
        <f t="shared" si="47"/>
        <v>3.0089223492189075E-3</v>
      </c>
      <c r="K147" s="21">
        <f t="shared" ca="1" si="37"/>
        <v>1.3288646123867126E-2</v>
      </c>
      <c r="L147" s="21">
        <f t="shared" ca="1" si="48"/>
        <v>1.6064433765588729E-5</v>
      </c>
      <c r="M147" s="21">
        <f t="shared" ca="1" si="49"/>
        <v>1064.4925924118045</v>
      </c>
      <c r="N147" s="21">
        <f t="shared" ca="1" si="50"/>
        <v>117548.78850476768</v>
      </c>
      <c r="O147" s="21">
        <f t="shared" ca="1" si="51"/>
        <v>32747.637508011318</v>
      </c>
      <c r="P147">
        <f t="shared" ca="1" si="52"/>
        <v>-4.0080461281762625E-3</v>
      </c>
    </row>
    <row r="148" spans="1:16" x14ac:dyDescent="0.2">
      <c r="A148" s="113">
        <v>5715</v>
      </c>
      <c r="B148" s="113">
        <v>1.6553499997826293E-2</v>
      </c>
      <c r="D148" s="112">
        <f t="shared" si="41"/>
        <v>0.57150000000000001</v>
      </c>
      <c r="E148" s="112">
        <f t="shared" si="42"/>
        <v>1.6553499997826293E-2</v>
      </c>
      <c r="F148" s="21">
        <f t="shared" si="43"/>
        <v>0.32661224999999999</v>
      </c>
      <c r="G148" s="21">
        <f t="shared" si="44"/>
        <v>0.18665890087500001</v>
      </c>
      <c r="H148" s="21">
        <f t="shared" si="45"/>
        <v>0.10667556185006249</v>
      </c>
      <c r="I148" s="21">
        <f t="shared" si="46"/>
        <v>9.4603252487577266E-3</v>
      </c>
      <c r="J148" s="21">
        <f t="shared" si="47"/>
        <v>5.4065758796650407E-3</v>
      </c>
      <c r="K148" s="21">
        <f t="shared" ca="1" si="37"/>
        <v>1.3294404782458467E-2</v>
      </c>
      <c r="L148" s="21">
        <f t="shared" ca="1" si="48"/>
        <v>1.0621701622833456E-5</v>
      </c>
      <c r="M148" s="21">
        <f t="shared" ca="1" si="49"/>
        <v>1037.2948326585013</v>
      </c>
      <c r="N148" s="21">
        <f t="shared" ca="1" si="50"/>
        <v>117188.84935998612</v>
      </c>
      <c r="O148" s="21">
        <f t="shared" ca="1" si="51"/>
        <v>31635.307001952726</v>
      </c>
      <c r="P148">
        <f t="shared" ca="1" si="52"/>
        <v>3.2590952153678261E-3</v>
      </c>
    </row>
    <row r="149" spans="1:16" x14ac:dyDescent="0.2">
      <c r="A149" s="113">
        <v>5715</v>
      </c>
      <c r="B149" s="113">
        <v>1.6553499997826293E-2</v>
      </c>
      <c r="D149" s="112">
        <f t="shared" si="41"/>
        <v>0.57150000000000001</v>
      </c>
      <c r="E149" s="112">
        <f t="shared" si="42"/>
        <v>1.6553499997826293E-2</v>
      </c>
      <c r="F149" s="21">
        <f t="shared" si="43"/>
        <v>0.32661224999999999</v>
      </c>
      <c r="G149" s="21">
        <f t="shared" si="44"/>
        <v>0.18665890087500001</v>
      </c>
      <c r="H149" s="21">
        <f t="shared" si="45"/>
        <v>0.10667556185006249</v>
      </c>
      <c r="I149" s="21">
        <f t="shared" si="46"/>
        <v>9.4603252487577266E-3</v>
      </c>
      <c r="J149" s="21">
        <f t="shared" si="47"/>
        <v>5.4065758796650407E-3</v>
      </c>
      <c r="K149" s="21">
        <f t="shared" ref="K149:K176" ca="1" si="53">+E$4+E$5*D149+E$6*D149^2</f>
        <v>1.3294404782458467E-2</v>
      </c>
      <c r="L149" s="21">
        <f t="shared" ca="1" si="48"/>
        <v>1.0621701622833456E-5</v>
      </c>
      <c r="M149" s="21">
        <f t="shared" ca="1" si="49"/>
        <v>1037.2948326585013</v>
      </c>
      <c r="N149" s="21">
        <f t="shared" ca="1" si="50"/>
        <v>117188.84935998612</v>
      </c>
      <c r="O149" s="21">
        <f t="shared" ca="1" si="51"/>
        <v>31635.307001952726</v>
      </c>
      <c r="P149">
        <f t="shared" ca="1" si="52"/>
        <v>3.2590952153678261E-3</v>
      </c>
    </row>
    <row r="150" spans="1:16" x14ac:dyDescent="0.2">
      <c r="A150" s="113">
        <v>5722</v>
      </c>
      <c r="B150" s="113">
        <v>5.3778000001329929E-3</v>
      </c>
      <c r="D150" s="112">
        <f t="shared" si="41"/>
        <v>0.57220000000000004</v>
      </c>
      <c r="E150" s="112">
        <f t="shared" si="42"/>
        <v>5.3778000001329929E-3</v>
      </c>
      <c r="F150" s="21">
        <f t="shared" si="43"/>
        <v>0.32741284000000004</v>
      </c>
      <c r="G150" s="21">
        <f t="shared" si="44"/>
        <v>0.18734562704800004</v>
      </c>
      <c r="H150" s="21">
        <f t="shared" si="45"/>
        <v>0.10719916779686563</v>
      </c>
      <c r="I150" s="21">
        <f t="shared" si="46"/>
        <v>3.0771771600760986E-3</v>
      </c>
      <c r="J150" s="21">
        <f t="shared" si="47"/>
        <v>1.7607607709955438E-3</v>
      </c>
      <c r="K150" s="21">
        <f t="shared" ca="1" si="53"/>
        <v>1.3296249086925836E-2</v>
      </c>
      <c r="L150" s="21">
        <f t="shared" ca="1" si="48"/>
        <v>6.2701835940130412E-5</v>
      </c>
      <c r="M150" s="21">
        <f t="shared" ca="1" si="49"/>
        <v>1028.2977297164136</v>
      </c>
      <c r="N150" s="21">
        <f t="shared" ca="1" si="50"/>
        <v>117066.52026831804</v>
      </c>
      <c r="O150" s="21">
        <f t="shared" ca="1" si="51"/>
        <v>31266.784408723503</v>
      </c>
      <c r="P150">
        <f t="shared" ca="1" si="52"/>
        <v>-7.918449086792843E-3</v>
      </c>
    </row>
    <row r="151" spans="1:16" x14ac:dyDescent="0.2">
      <c r="A151" s="113">
        <v>5903</v>
      </c>
      <c r="B151" s="113">
        <v>5.7346999965375289E-3</v>
      </c>
      <c r="D151" s="112">
        <f t="shared" si="41"/>
        <v>0.59030000000000005</v>
      </c>
      <c r="E151" s="112">
        <f t="shared" si="42"/>
        <v>5.7346999965375289E-3</v>
      </c>
      <c r="F151" s="21">
        <f t="shared" si="43"/>
        <v>0.34845409000000005</v>
      </c>
      <c r="G151" s="21">
        <f t="shared" si="44"/>
        <v>0.20569244932700004</v>
      </c>
      <c r="H151" s="21">
        <f t="shared" si="45"/>
        <v>0.12142025283772813</v>
      </c>
      <c r="I151" s="21">
        <f t="shared" si="46"/>
        <v>3.3851934079561037E-3</v>
      </c>
      <c r="J151" s="21">
        <f t="shared" si="47"/>
        <v>1.9982796687164884E-3</v>
      </c>
      <c r="K151" s="21">
        <f t="shared" ca="1" si="53"/>
        <v>1.3330873487985397E-2</v>
      </c>
      <c r="L151" s="21">
        <f t="shared" ca="1" si="48"/>
        <v>5.770185171217529E-5</v>
      </c>
      <c r="M151" s="21">
        <f t="shared" ca="1" si="49"/>
        <v>807.81908381967185</v>
      </c>
      <c r="N151" s="21">
        <f t="shared" ca="1" si="50"/>
        <v>113502.63862950553</v>
      </c>
      <c r="O151" s="21">
        <f t="shared" ca="1" si="51"/>
        <v>22191.592394708903</v>
      </c>
      <c r="P151">
        <f t="shared" ca="1" si="52"/>
        <v>-7.596173491447868E-3</v>
      </c>
    </row>
    <row r="152" spans="1:16" x14ac:dyDescent="0.2">
      <c r="A152" s="113">
        <v>5903</v>
      </c>
      <c r="B152" s="113">
        <v>1.7634700001508463E-2</v>
      </c>
      <c r="D152" s="112">
        <f t="shared" si="41"/>
        <v>0.59030000000000005</v>
      </c>
      <c r="E152" s="112">
        <f t="shared" si="42"/>
        <v>1.7634700001508463E-2</v>
      </c>
      <c r="F152" s="21">
        <f t="shared" si="43"/>
        <v>0.34845409000000005</v>
      </c>
      <c r="G152" s="21">
        <f t="shared" si="44"/>
        <v>0.20569244932700004</v>
      </c>
      <c r="H152" s="21">
        <f t="shared" si="45"/>
        <v>0.12142025283772813</v>
      </c>
      <c r="I152" s="21">
        <f t="shared" si="46"/>
        <v>1.0409763410890447E-2</v>
      </c>
      <c r="J152" s="21">
        <f t="shared" si="47"/>
        <v>6.1448833414486318E-3</v>
      </c>
      <c r="K152" s="21">
        <f t="shared" ca="1" si="53"/>
        <v>1.3330873487985397E-2</v>
      </c>
      <c r="L152" s="21">
        <f t="shared" ca="1" si="48"/>
        <v>1.8522922658504113E-5</v>
      </c>
      <c r="M152" s="21">
        <f t="shared" ca="1" si="49"/>
        <v>807.81908381967185</v>
      </c>
      <c r="N152" s="21">
        <f t="shared" ca="1" si="50"/>
        <v>113502.63862950553</v>
      </c>
      <c r="O152" s="21">
        <f t="shared" ca="1" si="51"/>
        <v>22191.592394708903</v>
      </c>
      <c r="P152">
        <f t="shared" ca="1" si="52"/>
        <v>4.3038265135230663E-3</v>
      </c>
    </row>
    <row r="153" spans="1:16" x14ac:dyDescent="0.2">
      <c r="A153" s="113">
        <v>5931</v>
      </c>
      <c r="B153" s="113">
        <v>1.5231899997161236E-2</v>
      </c>
      <c r="D153" s="112">
        <f t="shared" si="41"/>
        <v>0.59309999999999996</v>
      </c>
      <c r="E153" s="112">
        <f t="shared" si="42"/>
        <v>1.5231899997161236E-2</v>
      </c>
      <c r="F153" s="21">
        <f t="shared" si="43"/>
        <v>0.35176760999999995</v>
      </c>
      <c r="G153" s="21">
        <f t="shared" si="44"/>
        <v>0.20863336949099995</v>
      </c>
      <c r="H153" s="21">
        <f t="shared" si="45"/>
        <v>0.12374045144511207</v>
      </c>
      <c r="I153" s="21">
        <f t="shared" si="46"/>
        <v>9.0340398883163291E-3</v>
      </c>
      <c r="J153" s="21">
        <f t="shared" si="47"/>
        <v>5.3580890577604144E-3</v>
      </c>
      <c r="K153" s="21">
        <f t="shared" ca="1" si="53"/>
        <v>1.3333983046801468E-2</v>
      </c>
      <c r="L153" s="21">
        <f t="shared" ca="1" si="48"/>
        <v>3.6020887504629211E-6</v>
      </c>
      <c r="M153" s="21">
        <f t="shared" ca="1" si="49"/>
        <v>775.84131543056549</v>
      </c>
      <c r="N153" s="21">
        <f t="shared" ca="1" si="50"/>
        <v>112883.75187860731</v>
      </c>
      <c r="O153" s="21">
        <f t="shared" ca="1" si="51"/>
        <v>20877.07096677777</v>
      </c>
      <c r="P153">
        <f t="shared" ca="1" si="52"/>
        <v>1.8979169503597678E-3</v>
      </c>
    </row>
    <row r="154" spans="1:16" x14ac:dyDescent="0.2">
      <c r="A154" s="113">
        <v>5938</v>
      </c>
      <c r="B154" s="113">
        <v>7.9562000028090551E-3</v>
      </c>
      <c r="D154" s="112">
        <f t="shared" si="41"/>
        <v>0.59379999999999999</v>
      </c>
      <c r="E154" s="112">
        <f t="shared" si="42"/>
        <v>7.9562000028090551E-3</v>
      </c>
      <c r="F154" s="21">
        <f t="shared" si="43"/>
        <v>0.35259844000000001</v>
      </c>
      <c r="G154" s="21">
        <f t="shared" si="44"/>
        <v>0.20937295367200001</v>
      </c>
      <c r="H154" s="21">
        <f t="shared" si="45"/>
        <v>0.12432565989043361</v>
      </c>
      <c r="I154" s="21">
        <f t="shared" si="46"/>
        <v>4.7243915616680173E-3</v>
      </c>
      <c r="J154" s="21">
        <f t="shared" si="47"/>
        <v>2.8053437093184686E-3</v>
      </c>
      <c r="K154" s="21">
        <f t="shared" ca="1" si="53"/>
        <v>1.3334666376009972E-2</v>
      </c>
      <c r="L154" s="21">
        <f t="shared" ca="1" si="48"/>
        <v>2.892790052765302E-5</v>
      </c>
      <c r="M154" s="21">
        <f t="shared" ca="1" si="49"/>
        <v>767.93762441658339</v>
      </c>
      <c r="N154" s="21">
        <f t="shared" ca="1" si="50"/>
        <v>112726.26233557909</v>
      </c>
      <c r="O154" s="21">
        <f t="shared" ca="1" si="51"/>
        <v>20552.667234183424</v>
      </c>
      <c r="P154">
        <f t="shared" ca="1" si="52"/>
        <v>-5.3784663732009165E-3</v>
      </c>
    </row>
    <row r="155" spans="1:16" x14ac:dyDescent="0.2">
      <c r="A155" s="113">
        <v>5974</v>
      </c>
      <c r="B155" s="113">
        <v>1.6052599996328354E-2</v>
      </c>
      <c r="D155" s="112">
        <f t="shared" si="41"/>
        <v>0.59740000000000004</v>
      </c>
      <c r="E155" s="112">
        <f t="shared" si="42"/>
        <v>1.6052599996328354E-2</v>
      </c>
      <c r="F155" s="21">
        <f t="shared" si="43"/>
        <v>0.35688676000000003</v>
      </c>
      <c r="G155" s="21">
        <f t="shared" si="44"/>
        <v>0.21320415042400004</v>
      </c>
      <c r="H155" s="21">
        <f t="shared" si="45"/>
        <v>0.12736815946329763</v>
      </c>
      <c r="I155" s="21">
        <f t="shared" si="46"/>
        <v>9.58982323780656E-3</v>
      </c>
      <c r="J155" s="21">
        <f t="shared" si="47"/>
        <v>5.7289604022656392E-3</v>
      </c>
      <c r="K155" s="21">
        <f t="shared" ca="1" si="53"/>
        <v>1.3337586331747406E-2</v>
      </c>
      <c r="L155" s="21">
        <f t="shared" ca="1" si="48"/>
        <v>7.3712991988612689E-6</v>
      </c>
      <c r="M155" s="21">
        <f t="shared" ca="1" si="49"/>
        <v>727.86680881284929</v>
      </c>
      <c r="N155" s="21">
        <f t="shared" ca="1" si="50"/>
        <v>111898.96378240958</v>
      </c>
      <c r="O155" s="21">
        <f t="shared" ca="1" si="51"/>
        <v>18912.040897116996</v>
      </c>
      <c r="P155">
        <f t="shared" ca="1" si="52"/>
        <v>2.7150136645809481E-3</v>
      </c>
    </row>
    <row r="156" spans="1:16" x14ac:dyDescent="0.2">
      <c r="A156" s="113">
        <v>5988</v>
      </c>
      <c r="B156" s="113">
        <v>9.7011999969254248E-3</v>
      </c>
      <c r="D156" s="112">
        <f t="shared" si="41"/>
        <v>0.5988</v>
      </c>
      <c r="E156" s="112">
        <f t="shared" si="42"/>
        <v>9.7011999969254248E-3</v>
      </c>
      <c r="F156" s="21">
        <f t="shared" si="43"/>
        <v>0.35856144000000001</v>
      </c>
      <c r="G156" s="21">
        <f t="shared" si="44"/>
        <v>0.21470659027200001</v>
      </c>
      <c r="H156" s="21">
        <f t="shared" si="45"/>
        <v>0.12856630625487361</v>
      </c>
      <c r="I156" s="21">
        <f t="shared" si="46"/>
        <v>5.809078558158944E-3</v>
      </c>
      <c r="J156" s="21">
        <f t="shared" si="47"/>
        <v>3.4784762406255758E-3</v>
      </c>
      <c r="K156" s="21">
        <f t="shared" ca="1" si="53"/>
        <v>1.3338453125816852E-2</v>
      </c>
      <c r="L156" s="21">
        <f t="shared" ca="1" si="48"/>
        <v>1.3229610323630476E-5</v>
      </c>
      <c r="M156" s="21">
        <f t="shared" ca="1" si="49"/>
        <v>712.54572701284474</v>
      </c>
      <c r="N156" s="21">
        <f t="shared" ca="1" si="50"/>
        <v>111569.44042795405</v>
      </c>
      <c r="O156" s="21">
        <f t="shared" ca="1" si="51"/>
        <v>18286.938454156862</v>
      </c>
      <c r="P156">
        <f t="shared" ca="1" si="52"/>
        <v>-3.6372531288914271E-3</v>
      </c>
    </row>
    <row r="157" spans="1:16" x14ac:dyDescent="0.2">
      <c r="A157" s="113">
        <v>6002</v>
      </c>
      <c r="B157" s="113">
        <v>1.134979999915231E-2</v>
      </c>
      <c r="D157" s="112">
        <f t="shared" si="41"/>
        <v>0.60019999999999996</v>
      </c>
      <c r="E157" s="112">
        <f t="shared" si="42"/>
        <v>1.134979999915231E-2</v>
      </c>
      <c r="F157" s="21">
        <f t="shared" si="43"/>
        <v>0.36024003999999993</v>
      </c>
      <c r="G157" s="21">
        <f t="shared" si="44"/>
        <v>0.21621607200799994</v>
      </c>
      <c r="H157" s="21">
        <f t="shared" si="45"/>
        <v>0.12977288641920154</v>
      </c>
      <c r="I157" s="21">
        <f t="shared" si="46"/>
        <v>6.8121499594912165E-3</v>
      </c>
      <c r="J157" s="21">
        <f t="shared" si="47"/>
        <v>4.0886524056866274E-3</v>
      </c>
      <c r="K157" s="21">
        <f t="shared" ca="1" si="53"/>
        <v>1.3339169423093484E-2</v>
      </c>
      <c r="L157" s="21">
        <f t="shared" ca="1" si="48"/>
        <v>3.9575907049120361E-6</v>
      </c>
      <c r="M157" s="21">
        <f t="shared" ca="1" si="49"/>
        <v>697.37213705446425</v>
      </c>
      <c r="N157" s="21">
        <f t="shared" ca="1" si="50"/>
        <v>111235.58360761096</v>
      </c>
      <c r="O157" s="21">
        <f t="shared" ca="1" si="51"/>
        <v>17669.309105243006</v>
      </c>
      <c r="P157">
        <f t="shared" ca="1" si="52"/>
        <v>-1.9893694239411733E-3</v>
      </c>
    </row>
    <row r="158" spans="1:16" x14ac:dyDescent="0.2">
      <c r="A158" s="113">
        <v>6142</v>
      </c>
      <c r="B158" s="113">
        <v>2.8357999981380999E-3</v>
      </c>
      <c r="D158" s="112">
        <f t="shared" si="41"/>
        <v>0.61419999999999997</v>
      </c>
      <c r="E158" s="112">
        <f t="shared" si="42"/>
        <v>2.8357999981380999E-3</v>
      </c>
      <c r="F158" s="21">
        <f t="shared" si="43"/>
        <v>0.37724163999999993</v>
      </c>
      <c r="G158" s="21">
        <f t="shared" si="44"/>
        <v>0.23170181528799993</v>
      </c>
      <c r="H158" s="21">
        <f t="shared" si="45"/>
        <v>0.14231125494988955</v>
      </c>
      <c r="I158" s="21">
        <f t="shared" si="46"/>
        <v>1.7417483588564209E-3</v>
      </c>
      <c r="J158" s="21">
        <f t="shared" si="47"/>
        <v>1.0697818420096136E-3</v>
      </c>
      <c r="K158" s="21">
        <f t="shared" ca="1" si="53"/>
        <v>1.3338055072254938E-2</v>
      </c>
      <c r="L158" s="21">
        <f t="shared" ca="1" si="48"/>
        <v>1.1029736164181287E-4</v>
      </c>
      <c r="M158" s="21">
        <f t="shared" ca="1" si="49"/>
        <v>553.85907255885616</v>
      </c>
      <c r="N158" s="21">
        <f t="shared" ca="1" si="50"/>
        <v>107663.59951426127</v>
      </c>
      <c r="O158" s="21">
        <f t="shared" ca="1" si="51"/>
        <v>11939.095260811277</v>
      </c>
      <c r="P158">
        <f t="shared" ca="1" si="52"/>
        <v>-1.0502255074116838E-2</v>
      </c>
    </row>
    <row r="159" spans="1:16" x14ac:dyDescent="0.2">
      <c r="A159" s="113">
        <v>7345</v>
      </c>
      <c r="B159" s="113">
        <v>1.2940499997057486E-2</v>
      </c>
      <c r="D159" s="112">
        <f t="shared" si="41"/>
        <v>0.73450000000000004</v>
      </c>
      <c r="E159" s="112">
        <f t="shared" si="42"/>
        <v>1.2940499997057486E-2</v>
      </c>
      <c r="F159" s="21">
        <f t="shared" si="43"/>
        <v>0.53949025000000006</v>
      </c>
      <c r="G159" s="21">
        <f t="shared" si="44"/>
        <v>0.39625558862500004</v>
      </c>
      <c r="H159" s="21">
        <f t="shared" si="45"/>
        <v>0.29104972984506255</v>
      </c>
      <c r="I159" s="21">
        <f t="shared" si="46"/>
        <v>9.5047972478387241E-3</v>
      </c>
      <c r="J159" s="21">
        <f t="shared" si="47"/>
        <v>6.981273578537543E-3</v>
      </c>
      <c r="K159" s="21">
        <f t="shared" ca="1" si="53"/>
        <v>1.2708206699181587E-2</v>
      </c>
      <c r="L159" s="21">
        <f t="shared" ca="1" si="48"/>
        <v>5.3960176238061156E-8</v>
      </c>
      <c r="M159" s="21">
        <f t="shared" ca="1" si="49"/>
        <v>5.5975415740694014</v>
      </c>
      <c r="N159" s="21">
        <f t="shared" ca="1" si="50"/>
        <v>63480.663246447082</v>
      </c>
      <c r="O159" s="21">
        <f t="shared" ca="1" si="51"/>
        <v>19893.089672517366</v>
      </c>
      <c r="P159">
        <f t="shared" ca="1" si="52"/>
        <v>2.3229329787589903E-4</v>
      </c>
    </row>
    <row r="160" spans="1:16" x14ac:dyDescent="0.2">
      <c r="A160" s="113">
        <v>8145</v>
      </c>
      <c r="B160" s="113">
        <v>5.1605000044219196E-3</v>
      </c>
      <c r="D160" s="112">
        <f t="shared" si="41"/>
        <v>0.8145</v>
      </c>
      <c r="E160" s="112">
        <f t="shared" si="42"/>
        <v>5.1605000044219196E-3</v>
      </c>
      <c r="F160" s="21">
        <f t="shared" si="43"/>
        <v>0.66341024999999998</v>
      </c>
      <c r="G160" s="21">
        <f t="shared" si="44"/>
        <v>0.54034764862499995</v>
      </c>
      <c r="H160" s="21">
        <f t="shared" si="45"/>
        <v>0.44011315980506249</v>
      </c>
      <c r="I160" s="21">
        <f t="shared" si="46"/>
        <v>4.2032272536016539E-3</v>
      </c>
      <c r="J160" s="21">
        <f t="shared" si="47"/>
        <v>3.423528598058547E-3</v>
      </c>
      <c r="K160" s="21">
        <f t="shared" ca="1" si="53"/>
        <v>1.1674160880590607E-2</v>
      </c>
      <c r="L160" s="21">
        <f t="shared" ca="1" si="48"/>
        <v>4.2427778009730627E-5</v>
      </c>
      <c r="M160" s="21">
        <f t="shared" ca="1" si="49"/>
        <v>432.11828398697264</v>
      </c>
      <c r="N160" s="21">
        <f t="shared" ca="1" si="50"/>
        <v>29504.285664390249</v>
      </c>
      <c r="O160" s="21">
        <f t="shared" ca="1" si="51"/>
        <v>125399.84384686376</v>
      </c>
      <c r="P160">
        <f t="shared" ca="1" si="52"/>
        <v>-6.5136608761686872E-3</v>
      </c>
    </row>
    <row r="161" spans="1:16" x14ac:dyDescent="0.2">
      <c r="A161" s="113">
        <v>8268</v>
      </c>
      <c r="B161" s="113">
        <v>1.0753200003819074E-2</v>
      </c>
      <c r="D161" s="112">
        <f t="shared" si="41"/>
        <v>0.82679999999999998</v>
      </c>
      <c r="E161" s="112">
        <f t="shared" si="42"/>
        <v>1.0753200003819074E-2</v>
      </c>
      <c r="F161" s="21">
        <f t="shared" si="43"/>
        <v>0.68359823999999991</v>
      </c>
      <c r="G161" s="21">
        <f t="shared" si="44"/>
        <v>0.56519902483199991</v>
      </c>
      <c r="H161" s="21">
        <f t="shared" si="45"/>
        <v>0.46730655373109747</v>
      </c>
      <c r="I161" s="21">
        <f t="shared" si="46"/>
        <v>8.8907457631576103E-3</v>
      </c>
      <c r="J161" s="21">
        <f t="shared" si="47"/>
        <v>7.3508685969787121E-3</v>
      </c>
      <c r="K161" s="21">
        <f t="shared" ca="1" si="53"/>
        <v>1.1471590238044522E-2</v>
      </c>
      <c r="L161" s="21">
        <f t="shared" ca="1" si="48"/>
        <v>5.1608452863049312E-7</v>
      </c>
      <c r="M161" s="21">
        <f t="shared" ca="1" si="49"/>
        <v>561.90968461308898</v>
      </c>
      <c r="N161" s="21">
        <f t="shared" ca="1" si="50"/>
        <v>24758.120504761264</v>
      </c>
      <c r="O161" s="21">
        <f t="shared" ca="1" si="51"/>
        <v>152241.75371534607</v>
      </c>
      <c r="P161">
        <f t="shared" ca="1" si="52"/>
        <v>-7.1839023422544737E-4</v>
      </c>
    </row>
    <row r="162" spans="1:16" x14ac:dyDescent="0.2">
      <c r="A162" s="113">
        <v>8541</v>
      </c>
      <c r="B162" s="113">
        <v>6.6208999996888451E-3</v>
      </c>
      <c r="D162" s="112">
        <f t="shared" si="41"/>
        <v>0.85409999999999997</v>
      </c>
      <c r="E162" s="112">
        <f t="shared" si="42"/>
        <v>6.6208999996888451E-3</v>
      </c>
      <c r="F162" s="21">
        <f t="shared" si="43"/>
        <v>0.72948680999999993</v>
      </c>
      <c r="G162" s="21">
        <f t="shared" si="44"/>
        <v>0.62305468442099987</v>
      </c>
      <c r="H162" s="21">
        <f t="shared" si="45"/>
        <v>0.53215100596397602</v>
      </c>
      <c r="I162" s="21">
        <f t="shared" si="46"/>
        <v>5.6549106897342428E-3</v>
      </c>
      <c r="J162" s="21">
        <f t="shared" si="47"/>
        <v>4.8298592201020162E-3</v>
      </c>
      <c r="K162" s="21">
        <f t="shared" ca="1" si="53"/>
        <v>1.0980477361035395E-2</v>
      </c>
      <c r="L162" s="21">
        <f t="shared" ca="1" si="48"/>
        <v>1.9005914769565345E-5</v>
      </c>
      <c r="M162" s="21">
        <f t="shared" ca="1" si="49"/>
        <v>915.67752146890018</v>
      </c>
      <c r="N162" s="21">
        <f t="shared" ca="1" si="50"/>
        <v>15214.495337983393</v>
      </c>
      <c r="O162" s="21">
        <f t="shared" ca="1" si="51"/>
        <v>224078.98176455914</v>
      </c>
      <c r="P162">
        <f t="shared" ca="1" si="52"/>
        <v>-4.3595773613465498E-3</v>
      </c>
    </row>
    <row r="163" spans="1:16" x14ac:dyDescent="0.2">
      <c r="A163" s="113">
        <v>8548</v>
      </c>
      <c r="B163" s="113">
        <v>1.5345199994044378E-2</v>
      </c>
      <c r="D163" s="112">
        <f t="shared" si="41"/>
        <v>0.8548</v>
      </c>
      <c r="E163" s="112">
        <f t="shared" si="42"/>
        <v>1.5345199994044378E-2</v>
      </c>
      <c r="F163" s="21">
        <f t="shared" si="43"/>
        <v>0.73068304000000006</v>
      </c>
      <c r="G163" s="21">
        <f t="shared" si="44"/>
        <v>0.62458786259200005</v>
      </c>
      <c r="H163" s="21">
        <f t="shared" si="45"/>
        <v>0.53389770494364164</v>
      </c>
      <c r="I163" s="21">
        <f t="shared" si="46"/>
        <v>1.3117076954909134E-2</v>
      </c>
      <c r="J163" s="21">
        <f t="shared" si="47"/>
        <v>1.1212477381056329E-2</v>
      </c>
      <c r="K163" s="21">
        <f t="shared" ca="1" si="53"/>
        <v>1.0967132239199283E-2</v>
      </c>
      <c r="L163" s="21">
        <f t="shared" ca="1" si="48"/>
        <v>1.9167477266014376E-5</v>
      </c>
      <c r="M163" s="21">
        <f t="shared" ca="1" si="49"/>
        <v>925.9678357712703</v>
      </c>
      <c r="N163" s="21">
        <f t="shared" ca="1" si="50"/>
        <v>14991.340737961371</v>
      </c>
      <c r="O163" s="21">
        <f t="shared" ca="1" si="51"/>
        <v>226157.18663320076</v>
      </c>
      <c r="P163">
        <f t="shared" ca="1" si="52"/>
        <v>4.3780677548450955E-3</v>
      </c>
    </row>
    <row r="164" spans="1:16" x14ac:dyDescent="0.2">
      <c r="A164" s="1">
        <v>8654</v>
      </c>
      <c r="B164" s="1">
        <v>1.068459999805782E-2</v>
      </c>
      <c r="D164" s="112">
        <f t="shared" si="41"/>
        <v>0.86539999999999995</v>
      </c>
      <c r="E164" s="112">
        <f t="shared" si="42"/>
        <v>1.068459999805782E-2</v>
      </c>
      <c r="F164" s="21">
        <f t="shared" si="43"/>
        <v>0.74891715999999986</v>
      </c>
      <c r="G164" s="21">
        <f t="shared" si="44"/>
        <v>0.64811291026399986</v>
      </c>
      <c r="H164" s="21">
        <f t="shared" si="45"/>
        <v>0.56087691254246541</v>
      </c>
      <c r="I164" s="21">
        <f t="shared" si="46"/>
        <v>9.2464528383192374E-3</v>
      </c>
      <c r="J164" s="21">
        <f t="shared" si="47"/>
        <v>8.0018802862814684E-3</v>
      </c>
      <c r="K164" s="21">
        <f t="shared" ca="1" si="53"/>
        <v>1.076045036725163E-2</v>
      </c>
      <c r="L164" s="21">
        <f t="shared" ca="1" si="48"/>
        <v>5.7532785068372472E-9</v>
      </c>
      <c r="M164" s="21">
        <f t="shared" ca="1" si="49"/>
        <v>1089.411285293532</v>
      </c>
      <c r="N164" s="21">
        <f t="shared" ca="1" si="50"/>
        <v>11765.705438070796</v>
      </c>
      <c r="O164" s="21">
        <f t="shared" ca="1" si="51"/>
        <v>259154.28302369965</v>
      </c>
      <c r="P164">
        <f t="shared" ca="1" si="52"/>
        <v>-7.5850369193809775E-5</v>
      </c>
    </row>
    <row r="165" spans="1:16" x14ac:dyDescent="0.2">
      <c r="A165" s="1">
        <v>8917</v>
      </c>
      <c r="B165" s="1">
        <v>1.0083299996040296E-2</v>
      </c>
      <c r="D165" s="112">
        <f t="shared" si="41"/>
        <v>0.89170000000000005</v>
      </c>
      <c r="E165" s="112">
        <f t="shared" si="42"/>
        <v>1.0083299996040296E-2</v>
      </c>
      <c r="F165" s="21">
        <f t="shared" si="43"/>
        <v>0.79512889000000009</v>
      </c>
      <c r="G165" s="21">
        <f t="shared" si="44"/>
        <v>0.70901643121300006</v>
      </c>
      <c r="H165" s="21">
        <f t="shared" si="45"/>
        <v>0.63222995171263219</v>
      </c>
      <c r="I165" s="21">
        <f t="shared" si="46"/>
        <v>8.991278606469132E-3</v>
      </c>
      <c r="J165" s="21">
        <f t="shared" si="47"/>
        <v>8.0175231333885263E-3</v>
      </c>
      <c r="K165" s="21">
        <f t="shared" ca="1" si="53"/>
        <v>1.0210387023271306E-2</v>
      </c>
      <c r="L165" s="21">
        <f t="shared" ca="1" si="48"/>
        <v>1.6151112490415612E-8</v>
      </c>
      <c r="M165" s="21">
        <f t="shared" ca="1" si="49"/>
        <v>1557.9947553349944</v>
      </c>
      <c r="N165" s="21">
        <f t="shared" ca="1" si="50"/>
        <v>5187.0967626164493</v>
      </c>
      <c r="O165" s="21">
        <f t="shared" ca="1" si="51"/>
        <v>354076.62167315657</v>
      </c>
      <c r="P165">
        <f t="shared" ca="1" si="52"/>
        <v>-1.2708702723101054E-4</v>
      </c>
    </row>
    <row r="166" spans="1:16" x14ac:dyDescent="0.2">
      <c r="A166" s="1">
        <v>8981</v>
      </c>
      <c r="B166" s="1">
        <v>3.676899999845773E-3</v>
      </c>
      <c r="D166" s="112">
        <f t="shared" si="41"/>
        <v>0.89810000000000001</v>
      </c>
      <c r="E166" s="112">
        <f t="shared" si="42"/>
        <v>3.676899999845773E-3</v>
      </c>
      <c r="F166" s="21">
        <f t="shared" si="43"/>
        <v>0.80658361000000001</v>
      </c>
      <c r="G166" s="21">
        <f t="shared" si="44"/>
        <v>0.72439274014099997</v>
      </c>
      <c r="H166" s="21">
        <f t="shared" si="45"/>
        <v>0.65057711992063216</v>
      </c>
      <c r="I166" s="21">
        <f t="shared" si="46"/>
        <v>3.3022238898614887E-3</v>
      </c>
      <c r="J166" s="21">
        <f t="shared" si="47"/>
        <v>2.965727275484603E-3</v>
      </c>
      <c r="K166" s="21">
        <f t="shared" ca="1" si="53"/>
        <v>1.0068496618665587E-2</v>
      </c>
      <c r="L166" s="21">
        <f t="shared" ca="1" si="48"/>
        <v>4.085250733770888E-5</v>
      </c>
      <c r="M166" s="21">
        <f t="shared" ca="1" si="49"/>
        <v>1685.9539908962242</v>
      </c>
      <c r="N166" s="21">
        <f t="shared" ca="1" si="50"/>
        <v>3939.5986287782371</v>
      </c>
      <c r="O166" s="21">
        <f t="shared" ca="1" si="51"/>
        <v>380162.31000952452</v>
      </c>
      <c r="P166">
        <f t="shared" ca="1" si="52"/>
        <v>-6.3915966188198142E-3</v>
      </c>
    </row>
    <row r="167" spans="1:16" x14ac:dyDescent="0.2">
      <c r="A167" s="1">
        <v>9114</v>
      </c>
      <c r="B167" s="1">
        <v>1.033859999733977E-2</v>
      </c>
      <c r="D167" s="112">
        <f t="shared" si="41"/>
        <v>0.91139999999999999</v>
      </c>
      <c r="E167" s="112">
        <f t="shared" si="42"/>
        <v>1.033859999733977E-2</v>
      </c>
      <c r="F167" s="21">
        <f t="shared" si="43"/>
        <v>0.83064996000000002</v>
      </c>
      <c r="G167" s="21">
        <f t="shared" si="44"/>
        <v>0.75705437354399996</v>
      </c>
      <c r="H167" s="21">
        <f t="shared" si="45"/>
        <v>0.68997935604800165</v>
      </c>
      <c r="I167" s="21">
        <f t="shared" si="46"/>
        <v>9.4226000375754668E-3</v>
      </c>
      <c r="J167" s="21">
        <f t="shared" si="47"/>
        <v>8.58775767424628E-3</v>
      </c>
      <c r="K167" s="21">
        <f t="shared" ca="1" si="53"/>
        <v>9.7635715234602322E-3</v>
      </c>
      <c r="L167" s="21">
        <f t="shared" ca="1" si="48"/>
        <v>3.3065774577223056E-7</v>
      </c>
      <c r="M167" s="21">
        <f t="shared" ca="1" si="49"/>
        <v>1969.7572086755379</v>
      </c>
      <c r="N167" s="21">
        <f t="shared" ca="1" si="50"/>
        <v>1853.2752319119591</v>
      </c>
      <c r="O167" s="21">
        <f t="shared" ca="1" si="51"/>
        <v>438345.46601472818</v>
      </c>
      <c r="P167">
        <f t="shared" ca="1" si="52"/>
        <v>5.7502847387953804E-4</v>
      </c>
    </row>
    <row r="168" spans="1:16" x14ac:dyDescent="0.2">
      <c r="A168" s="1">
        <v>9408</v>
      </c>
      <c r="B168" s="1">
        <v>9.3591999975615181E-3</v>
      </c>
      <c r="D168" s="112">
        <f t="shared" si="41"/>
        <v>0.94079999999999997</v>
      </c>
      <c r="E168" s="112">
        <f t="shared" si="42"/>
        <v>9.3591999975615181E-3</v>
      </c>
      <c r="F168" s="21">
        <f t="shared" si="43"/>
        <v>0.88510464</v>
      </c>
      <c r="G168" s="21">
        <f t="shared" si="44"/>
        <v>0.832706445312</v>
      </c>
      <c r="H168" s="21">
        <f t="shared" si="45"/>
        <v>0.78341022374952962</v>
      </c>
      <c r="I168" s="21">
        <f t="shared" si="46"/>
        <v>8.8051353577058757E-3</v>
      </c>
      <c r="J168" s="21">
        <f t="shared" si="47"/>
        <v>8.2838713445296877E-3</v>
      </c>
      <c r="K168" s="21">
        <f t="shared" ca="1" si="53"/>
        <v>9.0413299782649212E-3</v>
      </c>
      <c r="L168" s="21">
        <f t="shared" ca="1" si="48"/>
        <v>1.0104134916761889E-7</v>
      </c>
      <c r="M168" s="21">
        <f t="shared" ca="1" si="49"/>
        <v>2685.1283473649987</v>
      </c>
      <c r="N168" s="21">
        <f t="shared" ca="1" si="50"/>
        <v>8.1112849813398693</v>
      </c>
      <c r="O168" s="21">
        <f t="shared" ca="1" si="51"/>
        <v>587239.95218390611</v>
      </c>
      <c r="P168">
        <f t="shared" ca="1" si="52"/>
        <v>3.1787001929659692E-4</v>
      </c>
    </row>
    <row r="169" spans="1:16" x14ac:dyDescent="0.2">
      <c r="A169" s="1">
        <v>9444.5</v>
      </c>
      <c r="B169" s="1">
        <v>1.3043049999396317E-2</v>
      </c>
      <c r="D169" s="112">
        <f t="shared" si="41"/>
        <v>0.94445000000000001</v>
      </c>
      <c r="E169" s="112">
        <f t="shared" si="42"/>
        <v>1.3043049999396317E-2</v>
      </c>
      <c r="F169" s="21">
        <f t="shared" si="43"/>
        <v>0.89198580250000004</v>
      </c>
      <c r="G169" s="21">
        <f t="shared" si="44"/>
        <v>0.842435991171125</v>
      </c>
      <c r="H169" s="21">
        <f t="shared" si="45"/>
        <v>0.79563867186156911</v>
      </c>
      <c r="I169" s="21">
        <f t="shared" si="46"/>
        <v>1.2318508571929851E-2</v>
      </c>
      <c r="J169" s="21">
        <f t="shared" si="47"/>
        <v>1.1634215420759148E-2</v>
      </c>
      <c r="K169" s="21">
        <f t="shared" ca="1" si="53"/>
        <v>8.9470326084466201E-3</v>
      </c>
      <c r="L169" s="21">
        <f t="shared" ca="1" si="48"/>
        <v>1.677735846696236E-5</v>
      </c>
      <c r="M169" s="21">
        <f t="shared" ca="1" si="49"/>
        <v>2782.6103017460364</v>
      </c>
      <c r="N169" s="21">
        <f t="shared" ca="1" si="50"/>
        <v>76.887555160589898</v>
      </c>
      <c r="O169" s="21">
        <f t="shared" ca="1" si="51"/>
        <v>607788.71254492854</v>
      </c>
      <c r="P169">
        <f t="shared" ca="1" si="52"/>
        <v>4.0960173909496966E-3</v>
      </c>
    </row>
    <row r="170" spans="1:16" x14ac:dyDescent="0.2">
      <c r="A170" s="1">
        <v>9448</v>
      </c>
      <c r="B170" s="1">
        <v>7.6552000027731992E-3</v>
      </c>
      <c r="D170" s="112">
        <f t="shared" si="41"/>
        <v>0.94479999999999997</v>
      </c>
      <c r="E170" s="112">
        <f t="shared" si="42"/>
        <v>7.6552000027731992E-3</v>
      </c>
      <c r="F170" s="21">
        <f t="shared" si="43"/>
        <v>0.89264703999999995</v>
      </c>
      <c r="G170" s="21">
        <f t="shared" si="44"/>
        <v>0.84337292339199987</v>
      </c>
      <c r="H170" s="21">
        <f t="shared" si="45"/>
        <v>0.79681873802076153</v>
      </c>
      <c r="I170" s="21">
        <f t="shared" si="46"/>
        <v>7.2326329626201183E-3</v>
      </c>
      <c r="J170" s="21">
        <f t="shared" si="47"/>
        <v>6.8333916230834879E-3</v>
      </c>
      <c r="K170" s="21">
        <f t="shared" ca="1" si="53"/>
        <v>8.9379366460478268E-3</v>
      </c>
      <c r="L170" s="21">
        <f t="shared" ca="1" si="48"/>
        <v>1.6454132959994593E-6</v>
      </c>
      <c r="M170" s="21">
        <f t="shared" ca="1" si="49"/>
        <v>2792.0602708967813</v>
      </c>
      <c r="N170" s="21">
        <f t="shared" ca="1" si="50"/>
        <v>87.214243335908947</v>
      </c>
      <c r="O170" s="21">
        <f t="shared" ca="1" si="51"/>
        <v>609784.06960131938</v>
      </c>
      <c r="P170">
        <f t="shared" ca="1" si="52"/>
        <v>-1.2827366432746276E-3</v>
      </c>
    </row>
    <row r="171" spans="1:16" x14ac:dyDescent="0.2">
      <c r="A171" s="1">
        <v>9876</v>
      </c>
      <c r="B171" s="1">
        <v>8.5423999989870936E-3</v>
      </c>
      <c r="D171" s="112">
        <f t="shared" si="41"/>
        <v>0.98760000000000003</v>
      </c>
      <c r="E171" s="112">
        <f t="shared" si="42"/>
        <v>8.5423999989870936E-3</v>
      </c>
      <c r="F171" s="21">
        <f t="shared" si="43"/>
        <v>0.97535376000000007</v>
      </c>
      <c r="G171" s="21">
        <f t="shared" si="44"/>
        <v>0.96325937337600009</v>
      </c>
      <c r="H171" s="21">
        <f t="shared" si="45"/>
        <v>0.95131495714613779</v>
      </c>
      <c r="I171" s="21">
        <f t="shared" si="46"/>
        <v>8.4364742389996545E-3</v>
      </c>
      <c r="J171" s="21">
        <f t="shared" si="47"/>
        <v>8.3318619584360591E-3</v>
      </c>
      <c r="K171" s="21">
        <f t="shared" ca="1" si="53"/>
        <v>7.7547272015591265E-3</v>
      </c>
      <c r="L171" s="21">
        <f t="shared" ca="1" si="48"/>
        <v>6.2042843580799928E-7</v>
      </c>
      <c r="M171" s="21">
        <f t="shared" ca="1" si="49"/>
        <v>4086.0408658461952</v>
      </c>
      <c r="N171" s="21">
        <f t="shared" ca="1" si="50"/>
        <v>6803.3595183194921</v>
      </c>
      <c r="O171" s="21">
        <f t="shared" ca="1" si="51"/>
        <v>888537.60791523673</v>
      </c>
      <c r="P171">
        <f t="shared" ca="1" si="52"/>
        <v>7.8767279742796709E-4</v>
      </c>
    </row>
    <row r="172" spans="1:16" x14ac:dyDescent="0.2">
      <c r="A172" s="1">
        <v>10148</v>
      </c>
      <c r="B172" s="1">
        <v>1.3415200002782512E-2</v>
      </c>
      <c r="D172" s="112">
        <f t="shared" si="41"/>
        <v>1.0147999999999999</v>
      </c>
      <c r="E172" s="112">
        <f t="shared" si="42"/>
        <v>1.3415200002782512E-2</v>
      </c>
      <c r="F172" s="21">
        <f t="shared" si="43"/>
        <v>1.0298190399999998</v>
      </c>
      <c r="G172" s="21">
        <f t="shared" si="44"/>
        <v>1.0450603617919998</v>
      </c>
      <c r="H172" s="21">
        <f t="shared" si="45"/>
        <v>1.0605272551465212</v>
      </c>
      <c r="I172" s="21">
        <f t="shared" si="46"/>
        <v>1.3613744962823693E-2</v>
      </c>
      <c r="J172" s="21">
        <f t="shared" si="47"/>
        <v>1.3815228388273482E-2</v>
      </c>
      <c r="K172" s="21">
        <f t="shared" ca="1" si="53"/>
        <v>6.9296825703134626E-3</v>
      </c>
      <c r="L172" s="21">
        <f t="shared" ca="1" si="48"/>
        <v>4.2061936366859934E-5</v>
      </c>
      <c r="M172" s="21">
        <f t="shared" ca="1" si="49"/>
        <v>5056.2580247309652</v>
      </c>
      <c r="N172" s="21">
        <f t="shared" ca="1" si="50"/>
        <v>17549.767413504447</v>
      </c>
      <c r="O172" s="21">
        <f t="shared" ca="1" si="51"/>
        <v>1104490.8158018137</v>
      </c>
      <c r="P172">
        <f t="shared" ca="1" si="52"/>
        <v>6.4855174324690498E-3</v>
      </c>
    </row>
    <row r="173" spans="1:16" x14ac:dyDescent="0.2">
      <c r="A173" s="1">
        <v>10202</v>
      </c>
      <c r="B173" s="1">
        <v>1.2929800002893899E-2</v>
      </c>
      <c r="D173" s="112">
        <f t="shared" si="41"/>
        <v>1.0202</v>
      </c>
      <c r="E173" s="112">
        <f t="shared" si="42"/>
        <v>1.2929800002893899E-2</v>
      </c>
      <c r="F173" s="21">
        <f t="shared" si="43"/>
        <v>1.0408080399999999</v>
      </c>
      <c r="G173" s="21">
        <f t="shared" si="44"/>
        <v>1.0618323624079999</v>
      </c>
      <c r="H173" s="21">
        <f t="shared" si="45"/>
        <v>1.0832813761286415</v>
      </c>
      <c r="I173" s="21">
        <f t="shared" si="46"/>
        <v>1.3190981962952356E-2</v>
      </c>
      <c r="J173" s="21">
        <f t="shared" si="47"/>
        <v>1.3457439798603994E-2</v>
      </c>
      <c r="K173" s="21">
        <f t="shared" ca="1" si="53"/>
        <v>6.7591284104499549E-3</v>
      </c>
      <c r="L173" s="21">
        <f t="shared" ca="1" si="48"/>
        <v>3.8077187901794677E-5</v>
      </c>
      <c r="M173" s="21">
        <f t="shared" ca="1" si="49"/>
        <v>5263.0682804160851</v>
      </c>
      <c r="N173" s="21">
        <f t="shared" ca="1" si="50"/>
        <v>20370.45011509809</v>
      </c>
      <c r="O173" s="21">
        <f t="shared" ca="1" si="51"/>
        <v>1151254.7630233089</v>
      </c>
      <c r="P173">
        <f t="shared" ca="1" si="52"/>
        <v>6.1706715924439437E-3</v>
      </c>
    </row>
    <row r="174" spans="1:16" x14ac:dyDescent="0.2">
      <c r="A174" s="1">
        <v>10297</v>
      </c>
      <c r="B174" s="1">
        <v>9.7453000053064898E-3</v>
      </c>
      <c r="D174" s="112">
        <f t="shared" si="41"/>
        <v>1.0297000000000001</v>
      </c>
      <c r="E174" s="112">
        <f t="shared" si="42"/>
        <v>9.7453000053064898E-3</v>
      </c>
      <c r="F174" s="21">
        <f t="shared" si="43"/>
        <v>1.0602820900000001</v>
      </c>
      <c r="G174" s="21">
        <f t="shared" si="44"/>
        <v>1.0917724680730001</v>
      </c>
      <c r="H174" s="21">
        <f t="shared" si="45"/>
        <v>1.1241981103747682</v>
      </c>
      <c r="I174" s="21">
        <f t="shared" si="46"/>
        <v>1.0034735415464093E-2</v>
      </c>
      <c r="J174" s="21">
        <f t="shared" si="47"/>
        <v>1.0332767057303377E-2</v>
      </c>
      <c r="K174" s="21">
        <f t="shared" ca="1" si="53"/>
        <v>6.4536450323867608E-3</v>
      </c>
      <c r="L174" s="21">
        <f t="shared" ca="1" si="48"/>
        <v>1.0834992460747182E-5</v>
      </c>
      <c r="M174" s="21">
        <f t="shared" ca="1" si="49"/>
        <v>5638.5508571906657</v>
      </c>
      <c r="N174" s="21">
        <f t="shared" ca="1" si="50"/>
        <v>25926.665278930745</v>
      </c>
      <c r="O174" s="21">
        <f t="shared" ca="1" si="51"/>
        <v>1236793.73608082</v>
      </c>
      <c r="P174">
        <f t="shared" ca="1" si="52"/>
        <v>3.2916549729197289E-3</v>
      </c>
    </row>
    <row r="175" spans="1:16" x14ac:dyDescent="0.2">
      <c r="A175" s="1">
        <v>10627.5</v>
      </c>
      <c r="B175" s="1">
        <v>9.7997499979101121E-3</v>
      </c>
      <c r="D175" s="112">
        <f t="shared" si="41"/>
        <v>1.0627500000000001</v>
      </c>
      <c r="E175" s="112">
        <f t="shared" si="42"/>
        <v>9.7997499979101121E-3</v>
      </c>
      <c r="F175" s="21">
        <f t="shared" si="43"/>
        <v>1.1294375625000002</v>
      </c>
      <c r="G175" s="21">
        <f t="shared" si="44"/>
        <v>1.2003097695468752</v>
      </c>
      <c r="H175" s="21">
        <f t="shared" si="45"/>
        <v>1.2756292075859417</v>
      </c>
      <c r="I175" s="21">
        <f t="shared" si="46"/>
        <v>1.0414684310278973E-2</v>
      </c>
      <c r="J175" s="21">
        <f t="shared" si="47"/>
        <v>1.106820575074898E-2</v>
      </c>
      <c r="K175" s="21">
        <f t="shared" ca="1" si="53"/>
        <v>5.3368945775756557E-3</v>
      </c>
      <c r="L175" s="21">
        <f t="shared" ca="1" si="48"/>
        <v>1.9917078502808637E-5</v>
      </c>
      <c r="M175" s="21">
        <f t="shared" ca="1" si="49"/>
        <v>7063.2825066248433</v>
      </c>
      <c r="N175" s="21">
        <f t="shared" ca="1" si="50"/>
        <v>51641.730410301476</v>
      </c>
      <c r="O175" s="21">
        <f t="shared" ca="1" si="51"/>
        <v>1568489.5655699475</v>
      </c>
      <c r="P175">
        <f t="shared" ca="1" si="52"/>
        <v>4.4628554203344564E-3</v>
      </c>
    </row>
    <row r="176" spans="1:16" x14ac:dyDescent="0.2">
      <c r="A176" s="1">
        <v>10722</v>
      </c>
      <c r="B176" s="1">
        <v>1.2177799995697569E-2</v>
      </c>
      <c r="D176" s="112">
        <f t="shared" si="41"/>
        <v>1.0722</v>
      </c>
      <c r="E176" s="112">
        <f t="shared" si="42"/>
        <v>1.2177799995697569E-2</v>
      </c>
      <c r="F176" s="21">
        <f t="shared" si="43"/>
        <v>1.1496128400000001</v>
      </c>
      <c r="G176" s="21">
        <f t="shared" si="44"/>
        <v>1.232614887048</v>
      </c>
      <c r="H176" s="21">
        <f t="shared" si="45"/>
        <v>1.3216096818928658</v>
      </c>
      <c r="I176" s="21">
        <f t="shared" si="46"/>
        <v>1.3057037155386935E-2</v>
      </c>
      <c r="J176" s="21">
        <f t="shared" si="47"/>
        <v>1.3999755238005871E-2</v>
      </c>
      <c r="K176" s="21">
        <f t="shared" ca="1" si="53"/>
        <v>5.0021624612134122E-3</v>
      </c>
      <c r="L176" s="21">
        <f t="shared" ca="1" si="48"/>
        <v>5.1489774026297871E-5</v>
      </c>
      <c r="M176" s="21">
        <f t="shared" ca="1" si="49"/>
        <v>7505.3303918246129</v>
      </c>
      <c r="N176" s="21">
        <f t="shared" ca="1" si="50"/>
        <v>60972.320483238749</v>
      </c>
      <c r="O176" s="21">
        <f t="shared" ca="1" si="51"/>
        <v>1673588.9675119831</v>
      </c>
      <c r="P176">
        <f t="shared" ca="1" si="52"/>
        <v>7.1756375344841569E-3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2022-03-30T06:07:21Z</dcterms:created>
  <dcterms:modified xsi:type="dcterms:W3CDTF">2024-09-28T07:03:02Z</dcterms:modified>
</cp:coreProperties>
</file>