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35688A7-D503-442A-9A9C-C8A36FF80980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C7" i="1" l="1"/>
  <c r="C8" i="1"/>
  <c r="F12" i="1"/>
  <c r="F13" i="1" s="1"/>
  <c r="C13" i="1"/>
  <c r="D13" i="1"/>
  <c r="C14" i="1"/>
  <c r="D14" i="1"/>
  <c r="C17" i="1"/>
  <c r="E21" i="1"/>
  <c r="F21" i="1"/>
  <c r="Q21" i="1"/>
  <c r="E22" i="1"/>
  <c r="F22" i="1"/>
  <c r="G22" i="1"/>
  <c r="Q22" i="1"/>
  <c r="E23" i="1"/>
  <c r="F23" i="1"/>
  <c r="G23" i="1"/>
  <c r="Q23" i="1"/>
  <c r="E24" i="1"/>
  <c r="F24" i="1"/>
  <c r="G24" i="1"/>
  <c r="Q24" i="1"/>
  <c r="E25" i="1"/>
  <c r="F25" i="1"/>
  <c r="G25" i="1"/>
  <c r="Q25" i="1"/>
  <c r="E26" i="1"/>
  <c r="F26" i="1"/>
  <c r="G26" i="1"/>
  <c r="Q26" i="1"/>
  <c r="E27" i="1"/>
  <c r="F27" i="1"/>
  <c r="G27" i="1"/>
  <c r="Q27" i="1"/>
  <c r="E28" i="1"/>
  <c r="F28" i="1"/>
  <c r="G28" i="1"/>
  <c r="Q28" i="1"/>
  <c r="E29" i="1"/>
  <c r="F29" i="1"/>
  <c r="G29" i="1"/>
  <c r="Q29" i="1"/>
  <c r="E30" i="1"/>
  <c r="F30" i="1"/>
  <c r="G30" i="1"/>
  <c r="Q30" i="1"/>
  <c r="E31" i="1"/>
  <c r="F31" i="1"/>
  <c r="G31" i="1"/>
  <c r="Q31" i="1"/>
  <c r="E32" i="1"/>
  <c r="F32" i="1"/>
  <c r="G32" i="1"/>
  <c r="Q32" i="1"/>
  <c r="E33" i="1"/>
  <c r="F33" i="1"/>
  <c r="G33" i="1"/>
  <c r="Q33" i="1"/>
  <c r="E34" i="1"/>
  <c r="F34" i="1"/>
  <c r="G34" i="1"/>
  <c r="Q34" i="1"/>
  <c r="E35" i="1"/>
  <c r="F35" i="1"/>
  <c r="G35" i="1"/>
  <c r="Q35" i="1"/>
  <c r="E36" i="1"/>
  <c r="F36" i="1"/>
  <c r="G36" i="1"/>
  <c r="Q36" i="1"/>
  <c r="E37" i="1"/>
  <c r="F37" i="1"/>
  <c r="G37" i="1"/>
  <c r="Q37" i="1"/>
  <c r="E38" i="1"/>
  <c r="F38" i="1"/>
  <c r="G38" i="1"/>
  <c r="Q38" i="1"/>
  <c r="E39" i="1"/>
  <c r="F39" i="1"/>
  <c r="G39" i="1"/>
  <c r="Q39" i="1"/>
  <c r="E40" i="1"/>
  <c r="F40" i="1"/>
  <c r="G40" i="1"/>
  <c r="Q40" i="1"/>
  <c r="E41" i="1"/>
  <c r="F41" i="1"/>
  <c r="G41" i="1"/>
  <c r="Q41" i="1"/>
  <c r="E42" i="1"/>
  <c r="F42" i="1"/>
  <c r="G42" i="1"/>
  <c r="Q42" i="1"/>
  <c r="E43" i="1"/>
  <c r="F43" i="1"/>
  <c r="G43" i="1"/>
  <c r="Q43" i="1"/>
  <c r="E44" i="1"/>
  <c r="F44" i="1"/>
  <c r="G44" i="1"/>
  <c r="Q44" i="1"/>
  <c r="E45" i="1"/>
  <c r="F45" i="1"/>
  <c r="G45" i="1"/>
  <c r="Q45" i="1"/>
  <c r="E46" i="1"/>
  <c r="F46" i="1"/>
  <c r="G46" i="1"/>
  <c r="Q46" i="1"/>
  <c r="E47" i="1"/>
  <c r="F47" i="1"/>
  <c r="G47" i="1"/>
  <c r="Q47" i="1"/>
  <c r="E48" i="1"/>
  <c r="F48" i="1"/>
  <c r="G48" i="1"/>
  <c r="Q48" i="1"/>
  <c r="E49" i="1"/>
  <c r="F49" i="1"/>
  <c r="G49" i="1"/>
  <c r="Q49" i="1"/>
  <c r="E50" i="1"/>
  <c r="F50" i="1"/>
  <c r="G50" i="1"/>
  <c r="Q50" i="1"/>
  <c r="E51" i="1"/>
  <c r="F51" i="1"/>
  <c r="G51" i="1"/>
  <c r="Q51" i="1"/>
  <c r="E52" i="1"/>
  <c r="F52" i="1"/>
  <c r="G52" i="1"/>
  <c r="Q52" i="1"/>
  <c r="E53" i="1"/>
  <c r="F53" i="1"/>
  <c r="G53" i="1"/>
  <c r="Q53" i="1"/>
  <c r="E54" i="1"/>
  <c r="F54" i="1"/>
  <c r="G54" i="1"/>
  <c r="Q54" i="1"/>
  <c r="E55" i="1"/>
  <c r="F55" i="1"/>
  <c r="G55" i="1"/>
  <c r="Q55" i="1"/>
  <c r="E56" i="1"/>
  <c r="F56" i="1"/>
  <c r="G56" i="1"/>
  <c r="Q56" i="1"/>
  <c r="E57" i="1"/>
  <c r="F57" i="1"/>
  <c r="G57" i="1"/>
  <c r="Q57" i="1"/>
  <c r="E58" i="1"/>
  <c r="F58" i="1"/>
  <c r="G58" i="1"/>
  <c r="Q58" i="1"/>
  <c r="E59" i="1"/>
  <c r="F59" i="1"/>
  <c r="G59" i="1"/>
  <c r="Q59" i="1"/>
  <c r="E60" i="1"/>
  <c r="F60" i="1"/>
  <c r="G60" i="1"/>
  <c r="Q60" i="1"/>
  <c r="E61" i="1"/>
  <c r="F61" i="1"/>
  <c r="G61" i="1"/>
  <c r="Q61" i="1"/>
  <c r="E62" i="1"/>
  <c r="F62" i="1"/>
  <c r="G62" i="1"/>
  <c r="Q62" i="1"/>
  <c r="E63" i="1"/>
  <c r="F63" i="1"/>
  <c r="G63" i="1"/>
  <c r="Q63" i="1"/>
  <c r="E64" i="1"/>
  <c r="F64" i="1"/>
  <c r="G64" i="1"/>
  <c r="Q64" i="1"/>
  <c r="E65" i="1"/>
  <c r="F65" i="1"/>
  <c r="G65" i="1"/>
  <c r="Q65" i="1"/>
  <c r="E66" i="1"/>
  <c r="F66" i="1"/>
  <c r="G66" i="1"/>
  <c r="Q66" i="1"/>
  <c r="E67" i="1"/>
  <c r="F67" i="1"/>
  <c r="G67" i="1"/>
  <c r="Q67" i="1"/>
  <c r="E68" i="1"/>
  <c r="F68" i="1"/>
  <c r="G68" i="1"/>
  <c r="Q68" i="1"/>
  <c r="E69" i="1"/>
  <c r="F69" i="1"/>
  <c r="G69" i="1"/>
  <c r="Q69" i="1"/>
  <c r="A11" i="2"/>
  <c r="C11" i="2"/>
  <c r="E11" i="2"/>
  <c r="D11" i="2"/>
  <c r="G11" i="2"/>
  <c r="H11" i="2"/>
  <c r="B11" i="2"/>
  <c r="A12" i="2"/>
  <c r="B12" i="2"/>
  <c r="D12" i="2"/>
  <c r="G12" i="2"/>
  <c r="C12" i="2"/>
  <c r="E12" i="2"/>
  <c r="H12" i="2"/>
  <c r="A13" i="2"/>
  <c r="D13" i="2"/>
  <c r="G13" i="2"/>
  <c r="C13" i="2"/>
  <c r="E13" i="2"/>
  <c r="H13" i="2"/>
  <c r="B13" i="2"/>
  <c r="A14" i="2"/>
  <c r="B14" i="2"/>
  <c r="D14" i="2"/>
  <c r="G14" i="2"/>
  <c r="C14" i="2"/>
  <c r="E14" i="2"/>
  <c r="H14" i="2"/>
  <c r="A15" i="2"/>
  <c r="C15" i="2"/>
  <c r="E15" i="2"/>
  <c r="D15" i="2"/>
  <c r="G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C19" i="2"/>
  <c r="E19" i="2"/>
  <c r="D19" i="2"/>
  <c r="G19" i="2"/>
  <c r="H19" i="2"/>
  <c r="B19" i="2"/>
  <c r="A20" i="2"/>
  <c r="B20" i="2"/>
  <c r="C20" i="2"/>
  <c r="D20" i="2"/>
  <c r="E20" i="2"/>
  <c r="G20" i="2"/>
  <c r="H20" i="2"/>
  <c r="A21" i="2"/>
  <c r="B21" i="2"/>
  <c r="D21" i="2"/>
  <c r="G21" i="2"/>
  <c r="C21" i="2"/>
  <c r="E21" i="2"/>
  <c r="H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D24" i="2"/>
  <c r="G24" i="2"/>
  <c r="C24" i="2"/>
  <c r="E24" i="2"/>
  <c r="H24" i="2"/>
  <c r="B24" i="2"/>
  <c r="A25" i="2"/>
  <c r="B25" i="2"/>
  <c r="D25" i="2"/>
  <c r="G25" i="2"/>
  <c r="C25" i="2"/>
  <c r="E25" i="2"/>
  <c r="H25" i="2"/>
  <c r="A26" i="2"/>
  <c r="B26" i="2"/>
  <c r="D26" i="2"/>
  <c r="G26" i="2"/>
  <c r="C26" i="2"/>
  <c r="E26" i="2"/>
  <c r="H26" i="2"/>
  <c r="A27" i="2"/>
  <c r="C27" i="2"/>
  <c r="E27" i="2"/>
  <c r="D27" i="2"/>
  <c r="G27" i="2"/>
  <c r="H27" i="2"/>
  <c r="B27" i="2"/>
  <c r="A28" i="2"/>
  <c r="B28" i="2"/>
  <c r="C28" i="2"/>
  <c r="D28" i="2"/>
  <c r="E28" i="2"/>
  <c r="G28" i="2"/>
  <c r="H28" i="2"/>
  <c r="A29" i="2"/>
  <c r="B29" i="2"/>
  <c r="D29" i="2"/>
  <c r="G29" i="2"/>
  <c r="C29" i="2"/>
  <c r="E29" i="2"/>
  <c r="H29" i="2"/>
  <c r="A30" i="2"/>
  <c r="B30" i="2"/>
  <c r="D30" i="2"/>
  <c r="G30" i="2"/>
  <c r="C30" i="2"/>
  <c r="E30" i="2"/>
  <c r="H30" i="2"/>
  <c r="A31" i="2"/>
  <c r="C31" i="2"/>
  <c r="E31" i="2"/>
  <c r="D31" i="2"/>
  <c r="G31" i="2"/>
  <c r="H31" i="2"/>
  <c r="B31" i="2"/>
  <c r="A32" i="2"/>
  <c r="D32" i="2"/>
  <c r="G32" i="2"/>
  <c r="C32" i="2"/>
  <c r="E32" i="2"/>
  <c r="H32" i="2"/>
  <c r="B32" i="2"/>
  <c r="A33" i="2"/>
  <c r="B33" i="2"/>
  <c r="D33" i="2"/>
  <c r="G33" i="2"/>
  <c r="C33" i="2"/>
  <c r="E33" i="2"/>
  <c r="H33" i="2"/>
  <c r="A34" i="2"/>
  <c r="B34" i="2"/>
  <c r="D34" i="2"/>
  <c r="G34" i="2"/>
  <c r="C34" i="2"/>
  <c r="E34" i="2"/>
  <c r="H34" i="2"/>
  <c r="A35" i="2"/>
  <c r="C35" i="2"/>
  <c r="E35" i="2"/>
  <c r="D35" i="2"/>
  <c r="G35" i="2"/>
  <c r="H35" i="2"/>
  <c r="B35" i="2"/>
  <c r="A36" i="2"/>
  <c r="B36" i="2"/>
  <c r="C36" i="2"/>
  <c r="D36" i="2"/>
  <c r="E36" i="2"/>
  <c r="G36" i="2"/>
  <c r="H36" i="2"/>
  <c r="A37" i="2"/>
  <c r="B37" i="2"/>
  <c r="D37" i="2"/>
  <c r="G37" i="2"/>
  <c r="C37" i="2"/>
  <c r="E37" i="2"/>
  <c r="H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B41" i="2"/>
  <c r="D41" i="2"/>
  <c r="G41" i="2"/>
  <c r="C41" i="2"/>
  <c r="E41" i="2"/>
  <c r="H41" i="2"/>
  <c r="A42" i="2"/>
  <c r="B42" i="2"/>
  <c r="D42" i="2"/>
  <c r="G42" i="2"/>
  <c r="C42" i="2"/>
  <c r="E42" i="2"/>
  <c r="H42" i="2"/>
  <c r="A43" i="2"/>
  <c r="C43" i="2"/>
  <c r="E43" i="2"/>
  <c r="D43" i="2"/>
  <c r="G43" i="2"/>
  <c r="H43" i="2"/>
  <c r="B43" i="2"/>
  <c r="A44" i="2"/>
  <c r="B44" i="2"/>
  <c r="C44" i="2"/>
  <c r="D44" i="2"/>
  <c r="E44" i="2"/>
  <c r="G44" i="2"/>
  <c r="H44" i="2"/>
  <c r="A45" i="2"/>
  <c r="B45" i="2"/>
  <c r="D45" i="2"/>
  <c r="G45" i="2"/>
  <c r="C45" i="2"/>
  <c r="E45" i="2"/>
  <c r="H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S69" i="1"/>
  <c r="K69" i="1"/>
  <c r="R61" i="1"/>
  <c r="K61" i="1"/>
  <c r="R53" i="1"/>
  <c r="K53" i="1"/>
  <c r="R45" i="1"/>
  <c r="K45" i="1"/>
  <c r="R37" i="1"/>
  <c r="J37" i="1"/>
  <c r="S29" i="1"/>
  <c r="K29" i="1"/>
  <c r="S25" i="1"/>
  <c r="I25" i="1"/>
  <c r="S68" i="1"/>
  <c r="K68" i="1"/>
  <c r="R64" i="1"/>
  <c r="K64" i="1"/>
  <c r="R60" i="1"/>
  <c r="K60" i="1"/>
  <c r="R56" i="1"/>
  <c r="K56" i="1"/>
  <c r="R52" i="1"/>
  <c r="K52" i="1"/>
  <c r="R48" i="1"/>
  <c r="K48" i="1"/>
  <c r="R44" i="1"/>
  <c r="K44" i="1"/>
  <c r="R40" i="1"/>
  <c r="K40" i="1"/>
  <c r="R36" i="1"/>
  <c r="J36" i="1"/>
  <c r="R32" i="1"/>
  <c r="K32" i="1"/>
  <c r="S28" i="1"/>
  <c r="J28" i="1"/>
  <c r="S24" i="1"/>
  <c r="I24" i="1"/>
  <c r="R63" i="1"/>
  <c r="K63" i="1"/>
  <c r="R55" i="1"/>
  <c r="K55" i="1"/>
  <c r="R47" i="1"/>
  <c r="K47" i="1"/>
  <c r="R35" i="1"/>
  <c r="K35" i="1"/>
  <c r="S23" i="1"/>
  <c r="I23" i="1"/>
  <c r="S67" i="1"/>
  <c r="K67" i="1"/>
  <c r="R59" i="1"/>
  <c r="K59" i="1"/>
  <c r="R51" i="1"/>
  <c r="K51" i="1"/>
  <c r="R43" i="1"/>
  <c r="K43" i="1"/>
  <c r="R39" i="1"/>
  <c r="J39" i="1"/>
  <c r="S31" i="1"/>
  <c r="K31" i="1"/>
  <c r="S27" i="1"/>
  <c r="K27" i="1"/>
  <c r="R66" i="1"/>
  <c r="K66" i="1"/>
  <c r="R62" i="1"/>
  <c r="K62" i="1"/>
  <c r="R58" i="1"/>
  <c r="K58" i="1"/>
  <c r="R54" i="1"/>
  <c r="K54" i="1"/>
  <c r="R50" i="1"/>
  <c r="K50" i="1"/>
  <c r="R46" i="1"/>
  <c r="K46" i="1"/>
  <c r="R42" i="1"/>
  <c r="K42" i="1"/>
  <c r="R38" i="1"/>
  <c r="J38" i="1"/>
  <c r="R34" i="1"/>
  <c r="K34" i="1"/>
  <c r="S30" i="1"/>
  <c r="K30" i="1"/>
  <c r="S26" i="1"/>
  <c r="J26" i="1"/>
  <c r="S22" i="1"/>
  <c r="I22" i="1"/>
  <c r="R65" i="1"/>
  <c r="K65" i="1"/>
  <c r="R57" i="1"/>
  <c r="K57" i="1"/>
  <c r="R49" i="1"/>
  <c r="K49" i="1"/>
  <c r="R41" i="1"/>
  <c r="K41" i="1"/>
  <c r="R33" i="1"/>
  <c r="K33" i="1"/>
  <c r="R19" i="1"/>
  <c r="E18" i="1"/>
  <c r="S19" i="1"/>
  <c r="E19" i="1"/>
  <c r="G11" i="1"/>
  <c r="D12" i="1"/>
  <c r="C11" i="1"/>
  <c r="D11" i="1"/>
  <c r="C12" i="1"/>
  <c r="C16" i="1" l="1"/>
  <c r="D18" i="1" s="1"/>
  <c r="P29" i="1"/>
  <c r="P37" i="1"/>
  <c r="P45" i="1"/>
  <c r="P53" i="1"/>
  <c r="P61" i="1"/>
  <c r="P69" i="1"/>
  <c r="P51" i="1"/>
  <c r="P22" i="1"/>
  <c r="P30" i="1"/>
  <c r="P38" i="1"/>
  <c r="P46" i="1"/>
  <c r="P54" i="1"/>
  <c r="P62" i="1"/>
  <c r="D15" i="1"/>
  <c r="C19" i="1" s="1"/>
  <c r="P23" i="1"/>
  <c r="P31" i="1"/>
  <c r="P39" i="1"/>
  <c r="P55" i="1"/>
  <c r="P63" i="1"/>
  <c r="P67" i="1"/>
  <c r="P47" i="1"/>
  <c r="P43" i="1"/>
  <c r="P24" i="1"/>
  <c r="P32" i="1"/>
  <c r="P40" i="1"/>
  <c r="P48" i="1"/>
  <c r="P56" i="1"/>
  <c r="P64" i="1"/>
  <c r="P21" i="1"/>
  <c r="P33" i="1"/>
  <c r="P57" i="1"/>
  <c r="P25" i="1"/>
  <c r="P41" i="1"/>
  <c r="P49" i="1"/>
  <c r="P59" i="1"/>
  <c r="P26" i="1"/>
  <c r="P34" i="1"/>
  <c r="P42" i="1"/>
  <c r="P50" i="1"/>
  <c r="P58" i="1"/>
  <c r="P66" i="1"/>
  <c r="P27" i="1"/>
  <c r="P28" i="1"/>
  <c r="P36" i="1"/>
  <c r="P44" i="1"/>
  <c r="P52" i="1"/>
  <c r="P60" i="1"/>
  <c r="P68" i="1"/>
  <c r="P65" i="1"/>
  <c r="P35" i="1"/>
  <c r="O27" i="1"/>
  <c r="O35" i="1"/>
  <c r="O43" i="1"/>
  <c r="O51" i="1"/>
  <c r="O59" i="1"/>
  <c r="O67" i="1"/>
  <c r="O37" i="1"/>
  <c r="O33" i="1"/>
  <c r="O57" i="1"/>
  <c r="O28" i="1"/>
  <c r="O36" i="1"/>
  <c r="O44" i="1"/>
  <c r="O52" i="1"/>
  <c r="O60" i="1"/>
  <c r="O68" i="1"/>
  <c r="O29" i="1"/>
  <c r="O45" i="1"/>
  <c r="O53" i="1"/>
  <c r="O61" i="1"/>
  <c r="O69" i="1"/>
  <c r="O49" i="1"/>
  <c r="O22" i="1"/>
  <c r="O30" i="1"/>
  <c r="O38" i="1"/>
  <c r="O46" i="1"/>
  <c r="O54" i="1"/>
  <c r="O62" i="1"/>
  <c r="C15" i="1"/>
  <c r="O63" i="1"/>
  <c r="O65" i="1"/>
  <c r="O23" i="1"/>
  <c r="O31" i="1"/>
  <c r="O39" i="1"/>
  <c r="O47" i="1"/>
  <c r="O55" i="1"/>
  <c r="O21" i="1"/>
  <c r="O41" i="1"/>
  <c r="O24" i="1"/>
  <c r="O32" i="1"/>
  <c r="O40" i="1"/>
  <c r="O48" i="1"/>
  <c r="O56" i="1"/>
  <c r="O64" i="1"/>
  <c r="O25" i="1"/>
  <c r="O26" i="1"/>
  <c r="O34" i="1"/>
  <c r="O42" i="1"/>
  <c r="O50" i="1"/>
  <c r="O58" i="1"/>
  <c r="O66" i="1"/>
  <c r="D16" i="1"/>
  <c r="D19" i="1" s="1"/>
  <c r="C18" i="1" l="1"/>
  <c r="F14" i="1"/>
  <c r="F15" i="1" s="1"/>
</calcChain>
</file>

<file path=xl/sharedStrings.xml><?xml version="1.0" encoding="utf-8"?>
<sst xmlns="http://schemas.openxmlformats.org/spreadsheetml/2006/main" count="485" uniqueCount="273">
  <si>
    <t xml:space="preserve">KN Per / GSC 2869-2543               </t>
  </si>
  <si>
    <t>System Type:</t>
  </si>
  <si>
    <t>RRc?</t>
  </si>
  <si>
    <t>2013-03-11 VSX says 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</si>
  <si>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</si>
  <si>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</si>
  <si>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</si>
  <si>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</si>
  <si>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</si>
  <si>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</si>
  <si>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</si>
  <si>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</si>
  <si>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</si>
  <si>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</si>
  <si>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</si>
  <si>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</si>
  <si>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</si>
  <si>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Start cell (x)</t>
  </si>
  <si>
    <t>Old Cycle</t>
  </si>
  <si>
    <t>Start cell (y)</t>
  </si>
  <si>
    <t>New Cycle</t>
  </si>
  <si>
    <t>New epoch =</t>
  </si>
  <si>
    <t>Next ToM</t>
  </si>
  <si>
    <t>New Period =</t>
  </si>
  <si>
    <t>Local time</t>
  </si>
  <si>
    <t># of data points =</t>
  </si>
  <si>
    <t>Prim. Ephem. =</t>
  </si>
  <si>
    <t>Sec. Ephem. =</t>
  </si>
  <si>
    <t>Source</t>
  </si>
  <si>
    <t>Typ</t>
  </si>
  <si>
    <t>ToM</t>
  </si>
  <si>
    <t>error</t>
  </si>
  <si>
    <t>n'</t>
  </si>
  <si>
    <t>n</t>
  </si>
  <si>
    <t>O-C</t>
  </si>
  <si>
    <t>GCVS 4</t>
  </si>
  <si>
    <t>S4</t>
  </si>
  <si>
    <t>S5</t>
  </si>
  <si>
    <t>Misc</t>
  </si>
  <si>
    <t>Prim. Fit</t>
  </si>
  <si>
    <t>Sec. Fit</t>
  </si>
  <si>
    <t>Date</t>
  </si>
  <si>
    <t>na</t>
  </si>
  <si>
    <t>BBSAG Bull.105</t>
  </si>
  <si>
    <t>Vandenbroere J</t>
  </si>
  <si>
    <t>B</t>
  </si>
  <si>
    <t>IBVS 4382</t>
  </si>
  <si>
    <t>IBVS 4562</t>
  </si>
  <si>
    <t>In pulsating stars category</t>
  </si>
  <si>
    <t>Kreiner</t>
  </si>
  <si>
    <t>IBVS 5643</t>
  </si>
  <si>
    <t>II</t>
  </si>
  <si>
    <t>IBVS 5677</t>
  </si>
  <si>
    <t>I</t>
  </si>
  <si>
    <t>IBVS 5731</t>
  </si>
  <si>
    <t>IBVS 5761</t>
  </si>
  <si>
    <t>IBVS 5874</t>
  </si>
  <si>
    <t>BAVM 193 </t>
  </si>
  <si>
    <t>VSB 48 </t>
  </si>
  <si>
    <t>BAVM 203 </t>
  </si>
  <si>
    <t>IBVS 5918</t>
  </si>
  <si>
    <t>OEJV 0107</t>
  </si>
  <si>
    <t>IBVS 5871</t>
  </si>
  <si>
    <t>BAVM 212 </t>
  </si>
  <si>
    <t>IBVS 5960</t>
  </si>
  <si>
    <t>BAVM 225 </t>
  </si>
  <si>
    <t>OEJV 0160</t>
  </si>
  <si>
    <t>IBVS 6048</t>
  </si>
  <si>
    <t>IBVS 6011</t>
  </si>
  <si>
    <t>IBVS 6042</t>
  </si>
  <si>
    <t>VSB 55 </t>
  </si>
  <si>
    <t>IBVS 6094</t>
  </si>
  <si>
    <t>ii</t>
  </si>
  <si>
    <t>OEJV 0165</t>
  </si>
  <si>
    <t>VSB 56 </t>
  </si>
  <si>
    <t>IBVS 6118</t>
  </si>
  <si>
    <t>IBVS 6152</t>
  </si>
  <si>
    <t>VSB-063</t>
  </si>
  <si>
    <t>Rc</t>
  </si>
  <si>
    <t>OEJV 0211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</si>
  <si>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</si>
  <si>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</si>
  <si>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</si>
  <si>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</si>
  <si>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</si>
  <si>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</si>
  <si>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</si>
  <si>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</si>
  <si>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</si>
  <si>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</si>
  <si>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</si>
  <si>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2452683.5317 </t>
  </si>
  <si>
    <t> 13.02.2003 00:45 </t>
  </si>
  <si>
    <t> -0.0217 </t>
  </si>
  <si>
    <t>E </t>
  </si>
  <si>
    <t>o</t>
  </si>
  <si>
    <t> H.Achterberg </t>
  </si>
  <si>
    <t>BAVM 172 </t>
  </si>
  <si>
    <t>2452694.3516 </t>
  </si>
  <si>
    <t> 23.02.2003 20:26 </t>
  </si>
  <si>
    <t> -0.0324 </t>
  </si>
  <si>
    <t>2452697.3936 </t>
  </si>
  <si>
    <t> 26.02.2003 21:26 </t>
  </si>
  <si>
    <t> -0.0230 </t>
  </si>
  <si>
    <t>2453681.7019 </t>
  </si>
  <si>
    <t> 07.11.2005 04:50 </t>
  </si>
  <si>
    <t> 0.0004 </t>
  </si>
  <si>
    <t>?</t>
  </si>
  <si>
    <t> S.Dvorak </t>
  </si>
  <si>
    <t>IBVS 5677 </t>
  </si>
  <si>
    <t>2453765.3100 </t>
  </si>
  <si>
    <t> 29.01.2006 19:26 </t>
  </si>
  <si>
    <t> -0.0038 </t>
  </si>
  <si>
    <t>C </t>
  </si>
  <si>
    <t>-I</t>
  </si>
  <si>
    <t> F.Walter </t>
  </si>
  <si>
    <t>BAVM 178 </t>
  </si>
  <si>
    <t>2453791.3049 </t>
  </si>
  <si>
    <t> 24.02.2006 19:19 </t>
  </si>
  <si>
    <t>39684</t>
  </si>
  <si>
    <t> -0.0023 </t>
  </si>
  <si>
    <t>BAVM 183 </t>
  </si>
  <si>
    <t>2454033.4905 </t>
  </si>
  <si>
    <t> 24.10.2006 23:46 </t>
  </si>
  <si>
    <t>40243</t>
  </si>
  <si>
    <t> 0.0111 </t>
  </si>
  <si>
    <t> F.Agerer </t>
  </si>
  <si>
    <t>BAVM 201 </t>
  </si>
  <si>
    <t>2454521.3093 </t>
  </si>
  <si>
    <t> 24.02.2008 19:25 </t>
  </si>
  <si>
    <t>41369</t>
  </si>
  <si>
    <t> 0.0196 </t>
  </si>
  <si>
    <t> M.&amp; K.Rätz </t>
  </si>
  <si>
    <t>BAVM 209 </t>
  </si>
  <si>
    <t>2454817.6387 </t>
  </si>
  <si>
    <t> 17.12.2008 03:19 </t>
  </si>
  <si>
    <t>42053</t>
  </si>
  <si>
    <t> 0.0238 </t>
  </si>
  <si>
    <t>2454830.6476 </t>
  </si>
  <si>
    <t> 30.12.2008 03:32 </t>
  </si>
  <si>
    <t>42083</t>
  </si>
  <si>
    <t> 0.0360 </t>
  </si>
  <si>
    <t> R.Diethelm </t>
  </si>
  <si>
    <t>IBVS 5871 </t>
  </si>
  <si>
    <t>2454831.5097 </t>
  </si>
  <si>
    <t> 31.12.2008 00:13 </t>
  </si>
  <si>
    <t>42085</t>
  </si>
  <si>
    <t> 0.0317 </t>
  </si>
  <si>
    <t>2454842.3322 </t>
  </si>
  <si>
    <t> 10.01.2009 19:58 </t>
  </si>
  <si>
    <t>42110</t>
  </si>
  <si>
    <t> 0.0236 </t>
  </si>
  <si>
    <t>2454845.3671 </t>
  </si>
  <si>
    <t> 13.01.2009 20:48 </t>
  </si>
  <si>
    <t>42117</t>
  </si>
  <si>
    <t> 0.0259 </t>
  </si>
  <si>
    <t>2455559.770 </t>
  </si>
  <si>
    <t> 29.12.2010 06:28 </t>
  </si>
  <si>
    <t>43766</t>
  </si>
  <si>
    <t> 0.042 </t>
  </si>
  <si>
    <t>IBVS 5960 </t>
  </si>
  <si>
    <t>2455818.4129 </t>
  </si>
  <si>
    <t> 13.09.2011 21:54 </t>
  </si>
  <si>
    <t>44363</t>
  </si>
  <si>
    <t> 0.0506 </t>
  </si>
  <si>
    <t>R</t>
  </si>
  <si>
    <t> K.Ho?kova </t>
  </si>
  <si>
    <t>OEJV 0160 </t>
  </si>
  <si>
    <t>2455834.4380 </t>
  </si>
  <si>
    <t> 29.09.2011 22:30 </t>
  </si>
  <si>
    <t>44400</t>
  </si>
  <si>
    <t> 0.0464 </t>
  </si>
  <si>
    <t> L.Pagel </t>
  </si>
  <si>
    <t>BAVM 228 </t>
  </si>
  <si>
    <t>2455863.8968 </t>
  </si>
  <si>
    <t> 29.10.2011 09:31 </t>
  </si>
  <si>
    <t>44468</t>
  </si>
  <si>
    <t> 0.0460 </t>
  </si>
  <si>
    <t>IBVS 6011 </t>
  </si>
  <si>
    <t>2456007.30351 </t>
  </si>
  <si>
    <t> 20.03.2012 19:17 </t>
  </si>
  <si>
    <t>44799</t>
  </si>
  <si>
    <t> 0.05553 </t>
  </si>
  <si>
    <t> L.Šmelcer </t>
  </si>
  <si>
    <t>2456007.30441 </t>
  </si>
  <si>
    <t> 20.03.2012 19:18 </t>
  </si>
  <si>
    <t> 0.05643 </t>
  </si>
  <si>
    <t>2456233.8798 </t>
  </si>
  <si>
    <t> 02.11.2012 09:06 </t>
  </si>
  <si>
    <t>45322</t>
  </si>
  <si>
    <t> 0.0557 </t>
  </si>
  <si>
    <t>IBVS 6042 </t>
  </si>
  <si>
    <t>2456293.2412 </t>
  </si>
  <si>
    <t> 31.12.2012 17:47 </t>
  </si>
  <si>
    <t>45459</t>
  </si>
  <si>
    <t> 0.0654 </t>
  </si>
  <si>
    <t> N.Ruocco </t>
  </si>
  <si>
    <t>IBVS 6094 </t>
  </si>
  <si>
    <t>2456521.56179 </t>
  </si>
  <si>
    <t> 17.08.2013 01:28 </t>
  </si>
  <si>
    <t>45986</t>
  </si>
  <si>
    <t> 0.07693 </t>
  </si>
  <si>
    <t>2456567.4723 </t>
  </si>
  <si>
    <t> 01.10.2013 23:20 </t>
  </si>
  <si>
    <t>46092</t>
  </si>
  <si>
    <t> 0.0657 </t>
  </si>
  <si>
    <t> W.Quester </t>
  </si>
  <si>
    <t>BAVM 234 </t>
  </si>
  <si>
    <t>2456989.4415 </t>
  </si>
  <si>
    <t> 27.11.2014 22:35 </t>
  </si>
  <si>
    <t>47066</t>
  </si>
  <si>
    <t> 0.0747 </t>
  </si>
  <si>
    <t> H.Braunwarth </t>
  </si>
  <si>
    <t>BAVM 239 </t>
  </si>
  <si>
    <t>2454462.388 </t>
  </si>
  <si>
    <t> 27.12.2007 21:18 </t>
  </si>
  <si>
    <t>41233</t>
  </si>
  <si>
    <t> 0.017 </t>
  </si>
  <si>
    <t>2454468.0161 </t>
  </si>
  <si>
    <t> 02.01.2008 12:23 </t>
  </si>
  <si>
    <t>41246</t>
  </si>
  <si>
    <t> 0.0130 </t>
  </si>
  <si>
    <t> H.Itoh </t>
  </si>
  <si>
    <t>2454504.4080 </t>
  </si>
  <si>
    <t> 07.02.2008 21:47 </t>
  </si>
  <si>
    <t>41330</t>
  </si>
  <si>
    <t> 0.0141 </t>
  </si>
  <si>
    <t>2454507.4502 </t>
  </si>
  <si>
    <t> 10.02.2008 22:48 </t>
  </si>
  <si>
    <t>41337</t>
  </si>
  <si>
    <t> 0.0237 </t>
  </si>
  <si>
    <t>2454761.3223 </t>
  </si>
  <si>
    <t> 21.10.2008 19:44 </t>
  </si>
  <si>
    <t>41923</t>
  </si>
  <si>
    <t> 0.0265 </t>
  </si>
  <si>
    <t> V.Pribík </t>
  </si>
  <si>
    <t>OEJV 0107 </t>
  </si>
  <si>
    <t>2455048.5498 </t>
  </si>
  <si>
    <t> 05.08.2009 01:11 </t>
  </si>
  <si>
    <t>42586</t>
  </si>
  <si>
    <t> Moschner &amp; Frank </t>
  </si>
  <si>
    <t>2455155.5636 </t>
  </si>
  <si>
    <t> 20.11.2009 01:31 </t>
  </si>
  <si>
    <t>42833</t>
  </si>
  <si>
    <t> 0.0340 </t>
  </si>
  <si>
    <t>2455794.5770 </t>
  </si>
  <si>
    <t> 21.08.2011 01:50 </t>
  </si>
  <si>
    <t>44308</t>
  </si>
  <si>
    <t> 0.0420 </t>
  </si>
  <si>
    <t> W.Moschner &amp; P.Frank </t>
  </si>
  <si>
    <t>2455951.4037 </t>
  </si>
  <si>
    <t> 24.01.2012 21:41 </t>
  </si>
  <si>
    <t>44670</t>
  </si>
  <si>
    <t> 0.0416 </t>
  </si>
  <si>
    <t>2456239.0792 </t>
  </si>
  <si>
    <t> 07.11.2012 13:54 </t>
  </si>
  <si>
    <t>45334</t>
  </si>
  <si>
    <t> 0.0564 </t>
  </si>
  <si>
    <t>2456268.1121 </t>
  </si>
  <si>
    <t> 06.12.2012 14:41 </t>
  </si>
  <si>
    <t>45401</t>
  </si>
  <si>
    <t> 0.0633 </t>
  </si>
  <si>
    <t>2456556.2069 </t>
  </si>
  <si>
    <t> 20.09.2013 16:57 </t>
  </si>
  <si>
    <t>46066</t>
  </si>
  <si>
    <t> 0.0641 </t>
  </si>
  <si>
    <t>2456556.2086 </t>
  </si>
  <si>
    <t> 20.09.2013 17:00 </t>
  </si>
  <si>
    <t> 0.0658 </t>
  </si>
  <si>
    <t> K.Shiokawa </t>
  </si>
  <si>
    <t>PE?</t>
  </si>
  <si>
    <t>vis?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</si>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</sst>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7" formatCode="dd/mm/yyyy"/>
  </numFmts>
  <fonts count="15" x14ac:knownFonts="1">
    <font>
      <sz val="10"/>
      <name val="Arial"/>
      <family val="2"/>
    </font>
    <font>
      <sz val="16"/>
      <name val="Arial"/>
      <family val="2"/>
    </font>
    <font>
      <strike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center"/>
    </xf>
    <xf numFmtId="0" fontId="6" fillId="2" borderId="0" xfId="0" applyFont="1" applyFill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0" fillId="0" borderId="0" xfId="0" applyAlignment="1">
      <alignment horizontal="center"/>
    </xf>
    <xf numFmtId="0" fontId="8" fillId="3" borderId="10" xfId="0" applyFont="1" applyFill="1" applyBorder="1" applyAlignment="1">
      <alignment horizontal="left" vertical="top" wrapText="1" indent="1"/>
    </xf>
    <xf numFmtId="0" fontId="8" fillId="3" borderId="10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right" vertical="top" wrapText="1"/>
    </xf>
    <xf numFmtId="0" fontId="13" fillId="3" borderId="10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167" fontId="0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KN Per - O-C Diagr.</a:t>
            </a:r>
          </a:p>
        </c:rich>
      </c:tx>
      <c:layout>
        <c:manualLayout>
          <c:xMode val="edge"/>
          <c:yMode val="edge"/>
          <c:x val="0.3640939597315436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1510720250878"/>
          <c:y val="0.11879187693843866"/>
          <c:w val="0.84157153083137337"/>
          <c:h val="0.684332962574604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1'!$H$21:$H$690</c:f>
              <c:numCache>
                <c:formatCode>General</c:formatCode>
                <c:ptCount val="6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3-4737-AA63-760A0745DEB7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1'!$I$21:$I$690</c:f>
              <c:numCache>
                <c:formatCode>General</c:formatCode>
                <c:ptCount val="670"/>
                <c:pt idx="1">
                  <c:v>-2.4996000000101048E-2</c:v>
                </c:pt>
                <c:pt idx="2">
                  <c:v>3.1640000015613623E-3</c:v>
                </c:pt>
                <c:pt idx="3">
                  <c:v>-2.8627999992750119E-2</c:v>
                </c:pt>
                <c:pt idx="4">
                  <c:v>-7.6600000029429793E-3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83-4737-AA63-760A0745DEB7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1'!$J$21:$J$690</c:f>
              <c:numCache>
                <c:formatCode>General</c:formatCode>
                <c:ptCount val="670"/>
                <c:pt idx="5">
                  <c:v>-8.7867999995069113E-2</c:v>
                </c:pt>
                <c:pt idx="7">
                  <c:v>-0.24730799999815645</c:v>
                </c:pt>
                <c:pt idx="15">
                  <c:v>-0.41641600000002654</c:v>
                </c:pt>
                <c:pt idx="16">
                  <c:v>-0.42022799999540439</c:v>
                </c:pt>
                <c:pt idx="17">
                  <c:v>-0.41914399999222951</c:v>
                </c:pt>
                <c:pt idx="18">
                  <c:v>-0.40951199999835808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83-4737-AA63-760A0745DEB7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1'!$K$21:$K$690</c:f>
              <c:numCache>
                <c:formatCode>General</c:formatCode>
                <c:ptCount val="670"/>
                <c:pt idx="6">
                  <c:v>-0.10124399999767775</c:v>
                </c:pt>
                <c:pt idx="8">
                  <c:v>-0.23835999999573687</c:v>
                </c:pt>
                <c:pt idx="9">
                  <c:v>-0.24905999999464257</c:v>
                </c:pt>
                <c:pt idx="10">
                  <c:v>-0.23962799999571871</c:v>
                </c:pt>
                <c:pt idx="11">
                  <c:v>-0.43286800000350922</c:v>
                </c:pt>
                <c:pt idx="12">
                  <c:v>-0.4370000000053551</c:v>
                </c:pt>
                <c:pt idx="13">
                  <c:v>-0.4355399999913061</c:v>
                </c:pt>
                <c:pt idx="14">
                  <c:v>-0.4221560000005411</c:v>
                </c:pt>
                <c:pt idx="19">
                  <c:v>-0.41358000000036554</c:v>
                </c:pt>
                <c:pt idx="20">
                  <c:v>-0.40663599999970756</c:v>
                </c:pt>
                <c:pt idx="21">
                  <c:v>-0.40939599999546772</c:v>
                </c:pt>
                <c:pt idx="22">
                  <c:v>-0.39721599999757018</c:v>
                </c:pt>
                <c:pt idx="23">
                  <c:v>-0.40156399999250425</c:v>
                </c:pt>
                <c:pt idx="24">
                  <c:v>-0.40966399999888381</c:v>
                </c:pt>
                <c:pt idx="25">
                  <c:v>-0.40733199999522185</c:v>
                </c:pt>
                <c:pt idx="26">
                  <c:v>-0.40668799999548355</c:v>
                </c:pt>
                <c:pt idx="27">
                  <c:v>-0.39921599999797763</c:v>
                </c:pt>
                <c:pt idx="28">
                  <c:v>-0.39080800000374438</c:v>
                </c:pt>
                <c:pt idx="29">
                  <c:v>-0.39121599999634782</c:v>
                </c:pt>
                <c:pt idx="30">
                  <c:v>-0.38263599999481812</c:v>
                </c:pt>
                <c:pt idx="31">
                  <c:v>-0.38682399999379413</c:v>
                </c:pt>
                <c:pt idx="32">
                  <c:v>-0.38725600000179838</c:v>
                </c:pt>
                <c:pt idx="33">
                  <c:v>-0.39160399999673245</c:v>
                </c:pt>
                <c:pt idx="34">
                  <c:v>-0.37769000000116648</c:v>
                </c:pt>
                <c:pt idx="35">
                  <c:v>-0.37679000000207452</c:v>
                </c:pt>
                <c:pt idx="36">
                  <c:v>-0.37755199999810429</c:v>
                </c:pt>
                <c:pt idx="37">
                  <c:v>-0.37683999999717344</c:v>
                </c:pt>
                <c:pt idx="38">
                  <c:v>-0.3699479999995674</c:v>
                </c:pt>
                <c:pt idx="39">
                  <c:v>-0.36783999999897787</c:v>
                </c:pt>
                <c:pt idx="40">
                  <c:v>-0.36206799999490613</c:v>
                </c:pt>
                <c:pt idx="41">
                  <c:v>-0.35629799999878742</c:v>
                </c:pt>
                <c:pt idx="42">
                  <c:v>-0.36910800000623567</c:v>
                </c:pt>
                <c:pt idx="43">
                  <c:v>-0.36740800000552554</c:v>
                </c:pt>
                <c:pt idx="44">
                  <c:v>-0.36753199999657227</c:v>
                </c:pt>
                <c:pt idx="45">
                  <c:v>-0.3585079999975278</c:v>
                </c:pt>
                <c:pt idx="46">
                  <c:v>-0.54005999999935739</c:v>
                </c:pt>
                <c:pt idx="47">
                  <c:v>-0.54029599999921629</c:v>
                </c:pt>
                <c:pt idx="48">
                  <c:v>-0.53851199980272213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83-4737-AA63-760A0745DEB7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Pt>
            <c:idx val="48"/>
            <c:marker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9-C783-4737-AA63-760A0745DEB7}"/>
              </c:ext>
            </c:extLst>
          </c:dPt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1'!$L$21:$L$690</c:f>
              <c:numCache>
                <c:formatCode>General</c:formatCode>
                <c:ptCount val="6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83-4737-AA63-760A0745DEB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1'!$M$21:$M$690</c:f>
              <c:numCache>
                <c:formatCode>General</c:formatCode>
                <c:ptCount val="6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83-4737-AA63-760A0745DEB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1'!$N$21:$N$690</c:f>
              <c:numCache>
                <c:formatCode>General</c:formatCode>
                <c:ptCount val="6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83-4737-AA63-760A0745DEB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1'!$O$21:$O$690</c:f>
              <c:numCache>
                <c:formatCode>General</c:formatCode>
                <c:ptCount val="670"/>
                <c:pt idx="0">
                  <c:v>-0.84061385276861866</c:v>
                </c:pt>
                <c:pt idx="1">
                  <c:v>-0.5489322416527479</c:v>
                </c:pt>
                <c:pt idx="2">
                  <c:v>-0.54857203289918666</c:v>
                </c:pt>
                <c:pt idx="3">
                  <c:v>-0.54591677980150677</c:v>
                </c:pt>
                <c:pt idx="4">
                  <c:v>-0.54444506975124241</c:v>
                </c:pt>
                <c:pt idx="5">
                  <c:v>-0.51957008239817148</c:v>
                </c:pt>
                <c:pt idx="6">
                  <c:v>-0.51108973917147282</c:v>
                </c:pt>
                <c:pt idx="7">
                  <c:v>-0.4628629329089613</c:v>
                </c:pt>
                <c:pt idx="8">
                  <c:v>-0.45850955283020706</c:v>
                </c:pt>
                <c:pt idx="9">
                  <c:v>-0.45825226086337761</c:v>
                </c:pt>
                <c:pt idx="10">
                  <c:v>-0.45818021911266538</c:v>
                </c:pt>
                <c:pt idx="11">
                  <c:v>-0.43479237932786863</c:v>
                </c:pt>
                <c:pt idx="12">
                  <c:v>-0.43280608534394532</c:v>
                </c:pt>
                <c:pt idx="13">
                  <c:v>-0.43218858462355464</c:v>
                </c:pt>
                <c:pt idx="14">
                  <c:v>-0.42643553624524821</c:v>
                </c:pt>
                <c:pt idx="15">
                  <c:v>-0.41624677435880214</c:v>
                </c:pt>
                <c:pt idx="16">
                  <c:v>-0.41611298253605078</c:v>
                </c:pt>
                <c:pt idx="17">
                  <c:v>-0.41524848152750388</c:v>
                </c:pt>
                <c:pt idx="18">
                  <c:v>-0.41517643977679164</c:v>
                </c:pt>
                <c:pt idx="19">
                  <c:v>-0.4148471060592499</c:v>
                </c:pt>
                <c:pt idx="20">
                  <c:v>-0.40914551607430938</c:v>
                </c:pt>
                <c:pt idx="21">
                  <c:v>-0.40780759784679627</c:v>
                </c:pt>
                <c:pt idx="22">
                  <c:v>-0.40749884748660092</c:v>
                </c:pt>
                <c:pt idx="23">
                  <c:v>-0.40747826412925459</c:v>
                </c:pt>
                <c:pt idx="24">
                  <c:v>-0.40722097216242514</c:v>
                </c:pt>
                <c:pt idx="25">
                  <c:v>-0.40714893041171285</c:v>
                </c:pt>
                <c:pt idx="26">
                  <c:v>-0.40232213311399245</c:v>
                </c:pt>
                <c:pt idx="27">
                  <c:v>-0.39978008848171753</c:v>
                </c:pt>
                <c:pt idx="28">
                  <c:v>-0.39017795227964258</c:v>
                </c:pt>
                <c:pt idx="29">
                  <c:v>-0.38459986243878014</c:v>
                </c:pt>
                <c:pt idx="30">
                  <c:v>-0.38403382011175535</c:v>
                </c:pt>
                <c:pt idx="31">
                  <c:v>-0.38365302800084777</c:v>
                </c:pt>
                <c:pt idx="32">
                  <c:v>-0.38295319385107168</c:v>
                </c:pt>
                <c:pt idx="33">
                  <c:v>-0.38087427475908975</c:v>
                </c:pt>
                <c:pt idx="34">
                  <c:v>-0.3795466482102498</c:v>
                </c:pt>
                <c:pt idx="35">
                  <c:v>-0.3795466482102498</c:v>
                </c:pt>
                <c:pt idx="36">
                  <c:v>-0.37416410026417779</c:v>
                </c:pt>
                <c:pt idx="37">
                  <c:v>-0.37404060012009965</c:v>
                </c:pt>
                <c:pt idx="38">
                  <c:v>-0.37335105764899673</c:v>
                </c:pt>
                <c:pt idx="39">
                  <c:v>-0.37275414028595244</c:v>
                </c:pt>
                <c:pt idx="40">
                  <c:v>-0.3673304256251877</c:v>
                </c:pt>
                <c:pt idx="41">
                  <c:v>-0.3673304256251877</c:v>
                </c:pt>
                <c:pt idx="42">
                  <c:v>-0.36650709133133347</c:v>
                </c:pt>
                <c:pt idx="43">
                  <c:v>-0.36650709133133347</c:v>
                </c:pt>
                <c:pt idx="44">
                  <c:v>-0.3662395076858308</c:v>
                </c:pt>
                <c:pt idx="45">
                  <c:v>-0.35621541265815554</c:v>
                </c:pt>
                <c:pt idx="46">
                  <c:v>-0.33989795612183205</c:v>
                </c:pt>
                <c:pt idx="47">
                  <c:v>-0.33975387262040757</c:v>
                </c:pt>
                <c:pt idx="48">
                  <c:v>-0.33801457892464049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83-4737-AA63-760A0745DEB7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1'!$F$21:$F$690</c:f>
              <c:numCache>
                <c:formatCode>General</c:formatCode>
                <c:ptCount val="670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1'!$P$21:$P$690</c:f>
              <c:numCache>
                <c:formatCode>General</c:formatCode>
                <c:ptCount val="670"/>
                <c:pt idx="0">
                  <c:v>0.72578690470443685</c:v>
                </c:pt>
                <c:pt idx="1">
                  <c:v>-1.187368706580294E-2</c:v>
                </c:pt>
                <c:pt idx="2">
                  <c:v>-1.2784652283309383E-2</c:v>
                </c:pt>
                <c:pt idx="3">
                  <c:v>-1.9499767315213856E-2</c:v>
                </c:pt>
                <c:pt idx="4">
                  <c:v>-2.3221710918168714E-2</c:v>
                </c:pt>
                <c:pt idx="5">
                  <c:v>-8.6130366081398235E-2</c:v>
                </c:pt>
                <c:pt idx="6">
                  <c:v>-0.10757709005926386</c:v>
                </c:pt>
                <c:pt idx="7">
                  <c:v>-0.2295423188945529</c:v>
                </c:pt>
                <c:pt idx="8">
                  <c:v>-0.24055198423755908</c:v>
                </c:pt>
                <c:pt idx="9">
                  <c:v>-0.24120267367863513</c:v>
                </c:pt>
                <c:pt idx="10">
                  <c:v>-0.24138486672213644</c:v>
                </c:pt>
                <c:pt idx="11">
                  <c:v>-0.3005325369159465</c:v>
                </c:pt>
                <c:pt idx="12">
                  <c:v>-0.30555585940105334</c:v>
                </c:pt>
                <c:pt idx="13">
                  <c:v>-0.30711751405963594</c:v>
                </c:pt>
                <c:pt idx="14">
                  <c:v>-0.32166692996209567</c:v>
                </c:pt>
                <c:pt idx="15">
                  <c:v>-0.34743423182870592</c:v>
                </c:pt>
                <c:pt idx="16">
                  <c:v>-0.34777259033806562</c:v>
                </c:pt>
                <c:pt idx="17">
                  <c:v>-0.34995890686008091</c:v>
                </c:pt>
                <c:pt idx="18">
                  <c:v>-0.35014109990358222</c:v>
                </c:pt>
                <c:pt idx="19">
                  <c:v>-0.35097398238815958</c:v>
                </c:pt>
                <c:pt idx="20">
                  <c:v>-0.36539326040240405</c:v>
                </c:pt>
                <c:pt idx="21">
                  <c:v>-0.36877684549599954</c:v>
                </c:pt>
                <c:pt idx="22">
                  <c:v>-0.36955767282529062</c:v>
                </c:pt>
                <c:pt idx="23">
                  <c:v>-0.36960972798057667</c:v>
                </c:pt>
                <c:pt idx="24">
                  <c:v>-0.37026041742165272</c:v>
                </c:pt>
                <c:pt idx="25">
                  <c:v>-0.37044261046515403</c:v>
                </c:pt>
                <c:pt idx="26">
                  <c:v>-0.38264954437974008</c:v>
                </c:pt>
                <c:pt idx="27">
                  <c:v>-0.38907835605757135</c:v>
                </c:pt>
                <c:pt idx="28">
                  <c:v>-0.41336208599852819</c:v>
                </c:pt>
                <c:pt idx="29">
                  <c:v>-0.42746903308105633</c:v>
                </c:pt>
                <c:pt idx="30">
                  <c:v>-0.42890054985142367</c:v>
                </c:pt>
                <c:pt idx="31">
                  <c:v>-0.42986357022421606</c:v>
                </c:pt>
                <c:pt idx="32">
                  <c:v>-0.43163344550394289</c:v>
                </c:pt>
                <c:pt idx="33">
                  <c:v>-0.4368910161878371</c:v>
                </c:pt>
                <c:pt idx="34">
                  <c:v>-0.44024857370378945</c:v>
                </c:pt>
                <c:pt idx="35">
                  <c:v>-0.44024857370378945</c:v>
                </c:pt>
                <c:pt idx="36">
                  <c:v>-0.4538609968110997</c:v>
                </c:pt>
                <c:pt idx="37">
                  <c:v>-0.45417332774281627</c:v>
                </c:pt>
                <c:pt idx="38">
                  <c:v>-0.45591717544489996</c:v>
                </c:pt>
                <c:pt idx="39">
                  <c:v>-0.45742677494819628</c:v>
                </c:pt>
                <c:pt idx="40">
                  <c:v>-0.47114330836607887</c:v>
                </c:pt>
                <c:pt idx="41">
                  <c:v>-0.47114330836607887</c:v>
                </c:pt>
                <c:pt idx="42">
                  <c:v>-0.47322551457752204</c:v>
                </c:pt>
                <c:pt idx="43">
                  <c:v>-0.47322551457752204</c:v>
                </c:pt>
                <c:pt idx="44">
                  <c:v>-0.47390223159624101</c:v>
                </c:pt>
                <c:pt idx="45">
                  <c:v>-0.4992530922205628</c:v>
                </c:pt>
                <c:pt idx="46">
                  <c:v>-0.54051981657360393</c:v>
                </c:pt>
                <c:pt idx="47">
                  <c:v>-0.54088420266060655</c:v>
                </c:pt>
                <c:pt idx="48">
                  <c:v>-0.54528286328228048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83-4737-AA63-760A0745D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748920"/>
        <c:axId val="1"/>
      </c:scatterChart>
      <c:valAx>
        <c:axId val="719748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74496644295298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985615434434332E-2"/>
              <c:y val="0.40436017466181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7489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100657872311414E-2"/>
          <c:y val="0.9217587485300206"/>
          <c:w val="0.9513422818791946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KN Per - Primary O-C Diagr.</a:t>
            </a:r>
          </a:p>
        </c:rich>
      </c:tx>
      <c:layout>
        <c:manualLayout>
          <c:xMode val="edge"/>
          <c:yMode val="edge"/>
          <c:x val="0.31209201790952601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871419065658"/>
          <c:y val="0.23734213889150713"/>
          <c:w val="0.81372678865207038"/>
          <c:h val="0.563292009635843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1'!$F$21:$F$609</c:f>
              <c:numCache>
                <c:formatCode>General</c:formatCode>
                <c:ptCount val="589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1'!$R$21:$R$609</c:f>
              <c:numCache>
                <c:formatCode>General</c:formatCode>
                <c:ptCount val="589"/>
                <c:pt idx="11">
                  <c:v>-0.43286800000350922</c:v>
                </c:pt>
                <c:pt idx="12">
                  <c:v>-0.4370000000053551</c:v>
                </c:pt>
                <c:pt idx="13">
                  <c:v>-0.4355399999913061</c:v>
                </c:pt>
                <c:pt idx="14">
                  <c:v>-0.4221560000005411</c:v>
                </c:pt>
                <c:pt idx="15">
                  <c:v>-0.41641600000002654</c:v>
                </c:pt>
                <c:pt idx="16">
                  <c:v>-0.42022799999540439</c:v>
                </c:pt>
                <c:pt idx="17">
                  <c:v>-0.41914399999222951</c:v>
                </c:pt>
                <c:pt idx="18">
                  <c:v>-0.40951199999835808</c:v>
                </c:pt>
                <c:pt idx="19">
                  <c:v>-0.41358000000036554</c:v>
                </c:pt>
                <c:pt idx="20">
                  <c:v>-0.40663599999970756</c:v>
                </c:pt>
                <c:pt idx="21">
                  <c:v>-0.40939599999546772</c:v>
                </c:pt>
                <c:pt idx="22">
                  <c:v>-0.39721599999757018</c:v>
                </c:pt>
                <c:pt idx="23">
                  <c:v>-0.40156399999250425</c:v>
                </c:pt>
                <c:pt idx="24">
                  <c:v>-0.40966399999888381</c:v>
                </c:pt>
                <c:pt idx="25">
                  <c:v>-0.40733199999522185</c:v>
                </c:pt>
                <c:pt idx="26">
                  <c:v>-0.40668799999548355</c:v>
                </c:pt>
                <c:pt idx="27">
                  <c:v>-0.39921599999797763</c:v>
                </c:pt>
                <c:pt idx="28">
                  <c:v>-0.39080800000374438</c:v>
                </c:pt>
                <c:pt idx="29">
                  <c:v>-0.39121599999634782</c:v>
                </c:pt>
                <c:pt idx="30">
                  <c:v>-0.38263599999481812</c:v>
                </c:pt>
                <c:pt idx="31">
                  <c:v>-0.38682399999379413</c:v>
                </c:pt>
                <c:pt idx="32">
                  <c:v>-0.38725600000179838</c:v>
                </c:pt>
                <c:pt idx="33">
                  <c:v>-0.39160399999673245</c:v>
                </c:pt>
                <c:pt idx="34">
                  <c:v>-0.37769000000116648</c:v>
                </c:pt>
                <c:pt idx="35">
                  <c:v>-0.37679000000207452</c:v>
                </c:pt>
                <c:pt idx="36">
                  <c:v>-0.37755199999810429</c:v>
                </c:pt>
                <c:pt idx="37">
                  <c:v>-0.37683999999717344</c:v>
                </c:pt>
                <c:pt idx="38">
                  <c:v>-0.3699479999995674</c:v>
                </c:pt>
                <c:pt idx="39">
                  <c:v>-0.36783999999897787</c:v>
                </c:pt>
                <c:pt idx="40">
                  <c:v>-0.36206799999490613</c:v>
                </c:pt>
                <c:pt idx="41">
                  <c:v>-0.35629799999878742</c:v>
                </c:pt>
                <c:pt idx="42">
                  <c:v>-0.36910800000623567</c:v>
                </c:pt>
                <c:pt idx="43">
                  <c:v>-0.36740800000552554</c:v>
                </c:pt>
                <c:pt idx="44">
                  <c:v>-0.36753199999657227</c:v>
                </c:pt>
                <c:pt idx="45">
                  <c:v>-0.3585079999975278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CC-4CF5-89A7-80527FCABBCC}"/>
            </c:ext>
          </c:extLst>
        </c:ser>
        <c:ser>
          <c:idx val="1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1'!$F$21:$F$609</c:f>
              <c:numCache>
                <c:formatCode>General</c:formatCode>
                <c:ptCount val="589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1'!$O$21:$O$609</c:f>
              <c:numCache>
                <c:formatCode>General</c:formatCode>
                <c:ptCount val="589"/>
                <c:pt idx="0">
                  <c:v>-0.84061385276861866</c:v>
                </c:pt>
                <c:pt idx="1">
                  <c:v>-0.5489322416527479</c:v>
                </c:pt>
                <c:pt idx="2">
                  <c:v>-0.54857203289918666</c:v>
                </c:pt>
                <c:pt idx="3">
                  <c:v>-0.54591677980150677</c:v>
                </c:pt>
                <c:pt idx="4">
                  <c:v>-0.54444506975124241</c:v>
                </c:pt>
                <c:pt idx="5">
                  <c:v>-0.51957008239817148</c:v>
                </c:pt>
                <c:pt idx="6">
                  <c:v>-0.51108973917147282</c:v>
                </c:pt>
                <c:pt idx="7">
                  <c:v>-0.4628629329089613</c:v>
                </c:pt>
                <c:pt idx="8">
                  <c:v>-0.45850955283020706</c:v>
                </c:pt>
                <c:pt idx="9">
                  <c:v>-0.45825226086337761</c:v>
                </c:pt>
                <c:pt idx="10">
                  <c:v>-0.45818021911266538</c:v>
                </c:pt>
                <c:pt idx="11">
                  <c:v>-0.43479237932786863</c:v>
                </c:pt>
                <c:pt idx="12">
                  <c:v>-0.43280608534394532</c:v>
                </c:pt>
                <c:pt idx="13">
                  <c:v>-0.43218858462355464</c:v>
                </c:pt>
                <c:pt idx="14">
                  <c:v>-0.42643553624524821</c:v>
                </c:pt>
                <c:pt idx="15">
                  <c:v>-0.41624677435880214</c:v>
                </c:pt>
                <c:pt idx="16">
                  <c:v>-0.41611298253605078</c:v>
                </c:pt>
                <c:pt idx="17">
                  <c:v>-0.41524848152750388</c:v>
                </c:pt>
                <c:pt idx="18">
                  <c:v>-0.41517643977679164</c:v>
                </c:pt>
                <c:pt idx="19">
                  <c:v>-0.4148471060592499</c:v>
                </c:pt>
                <c:pt idx="20">
                  <c:v>-0.40914551607430938</c:v>
                </c:pt>
                <c:pt idx="21">
                  <c:v>-0.40780759784679627</c:v>
                </c:pt>
                <c:pt idx="22">
                  <c:v>-0.40749884748660092</c:v>
                </c:pt>
                <c:pt idx="23">
                  <c:v>-0.40747826412925459</c:v>
                </c:pt>
                <c:pt idx="24">
                  <c:v>-0.40722097216242514</c:v>
                </c:pt>
                <c:pt idx="25">
                  <c:v>-0.40714893041171285</c:v>
                </c:pt>
                <c:pt idx="26">
                  <c:v>-0.40232213311399245</c:v>
                </c:pt>
                <c:pt idx="27">
                  <c:v>-0.39978008848171753</c:v>
                </c:pt>
                <c:pt idx="28">
                  <c:v>-0.39017795227964258</c:v>
                </c:pt>
                <c:pt idx="29">
                  <c:v>-0.38459986243878014</c:v>
                </c:pt>
                <c:pt idx="30">
                  <c:v>-0.38403382011175535</c:v>
                </c:pt>
                <c:pt idx="31">
                  <c:v>-0.38365302800084777</c:v>
                </c:pt>
                <c:pt idx="32">
                  <c:v>-0.38295319385107168</c:v>
                </c:pt>
                <c:pt idx="33">
                  <c:v>-0.38087427475908975</c:v>
                </c:pt>
                <c:pt idx="34">
                  <c:v>-0.3795466482102498</c:v>
                </c:pt>
                <c:pt idx="35">
                  <c:v>-0.3795466482102498</c:v>
                </c:pt>
                <c:pt idx="36">
                  <c:v>-0.37416410026417779</c:v>
                </c:pt>
                <c:pt idx="37">
                  <c:v>-0.37404060012009965</c:v>
                </c:pt>
                <c:pt idx="38">
                  <c:v>-0.37335105764899673</c:v>
                </c:pt>
                <c:pt idx="39">
                  <c:v>-0.37275414028595244</c:v>
                </c:pt>
                <c:pt idx="40">
                  <c:v>-0.3673304256251877</c:v>
                </c:pt>
                <c:pt idx="41">
                  <c:v>-0.3673304256251877</c:v>
                </c:pt>
                <c:pt idx="42">
                  <c:v>-0.36650709133133347</c:v>
                </c:pt>
                <c:pt idx="43">
                  <c:v>-0.36650709133133347</c:v>
                </c:pt>
                <c:pt idx="44">
                  <c:v>-0.3662395076858308</c:v>
                </c:pt>
                <c:pt idx="45">
                  <c:v>-0.35621541265815554</c:v>
                </c:pt>
                <c:pt idx="46">
                  <c:v>-0.33989795612183205</c:v>
                </c:pt>
                <c:pt idx="47">
                  <c:v>-0.33975387262040757</c:v>
                </c:pt>
                <c:pt idx="48">
                  <c:v>-0.33801457892464049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CC-4CF5-89A7-80527FCAB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311496"/>
        <c:axId val="1"/>
      </c:scatterChart>
      <c:valAx>
        <c:axId val="886311496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43876623265228"/>
              <c:y val="0.88607727831489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87581699346407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11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30133978350742"/>
          <c:y val="0.90822917704907136"/>
          <c:w val="0.24019642152574067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KN Per - Secondary O-C Diagr.</a:t>
            </a:r>
          </a:p>
        </c:rich>
      </c:tx>
      <c:layout>
        <c:manualLayout>
          <c:xMode val="edge"/>
          <c:yMode val="edge"/>
          <c:x val="0.2748232534762942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1726994900742"/>
          <c:y val="0.234375"/>
          <c:w val="0.8014198273697698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1'!$F$21:$F$609</c:f>
              <c:numCache>
                <c:formatCode>General</c:formatCode>
                <c:ptCount val="589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1'!$S$21:$S$609</c:f>
              <c:numCache>
                <c:formatCode>General</c:formatCode>
                <c:ptCount val="589"/>
                <c:pt idx="1">
                  <c:v>-2.4996000000101048E-2</c:v>
                </c:pt>
                <c:pt idx="2">
                  <c:v>3.1640000015613623E-3</c:v>
                </c:pt>
                <c:pt idx="3">
                  <c:v>-2.8627999992750119E-2</c:v>
                </c:pt>
                <c:pt idx="4">
                  <c:v>-7.6600000029429793E-3</c:v>
                </c:pt>
                <c:pt idx="5">
                  <c:v>-8.7867999995069113E-2</c:v>
                </c:pt>
                <c:pt idx="6">
                  <c:v>-0.10124399999767775</c:v>
                </c:pt>
                <c:pt idx="7">
                  <c:v>-0.24730799999815645</c:v>
                </c:pt>
                <c:pt idx="8">
                  <c:v>-0.23835999999573687</c:v>
                </c:pt>
                <c:pt idx="9">
                  <c:v>-0.24905999999464257</c:v>
                </c:pt>
                <c:pt idx="10">
                  <c:v>-0.23962799999571871</c:v>
                </c:pt>
                <c:pt idx="46">
                  <c:v>-0.54005999999935739</c:v>
                </c:pt>
                <c:pt idx="47">
                  <c:v>-0.54029599999921629</c:v>
                </c:pt>
                <c:pt idx="48">
                  <c:v>-0.53851199980272213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A7-4D50-BF91-213226808F46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1'!$F$21:$F$609</c:f>
              <c:numCache>
                <c:formatCode>General</c:formatCode>
                <c:ptCount val="589"/>
                <c:pt idx="0">
                  <c:v>0</c:v>
                </c:pt>
                <c:pt idx="1">
                  <c:v>28341.5</c:v>
                </c:pt>
                <c:pt idx="2">
                  <c:v>28376.5</c:v>
                </c:pt>
                <c:pt idx="3">
                  <c:v>28634.5</c:v>
                </c:pt>
                <c:pt idx="4">
                  <c:v>28777.5</c:v>
                </c:pt>
                <c:pt idx="5">
                  <c:v>31194.5</c:v>
                </c:pt>
                <c:pt idx="6">
                  <c:v>32018.5</c:v>
                </c:pt>
                <c:pt idx="7">
                  <c:v>36704.5</c:v>
                </c:pt>
                <c:pt idx="8">
                  <c:v>37127.5</c:v>
                </c:pt>
                <c:pt idx="9">
                  <c:v>37152.5</c:v>
                </c:pt>
                <c:pt idx="10">
                  <c:v>37159.5</c:v>
                </c:pt>
                <c:pt idx="11">
                  <c:v>39432</c:v>
                </c:pt>
                <c:pt idx="12">
                  <c:v>39625</c:v>
                </c:pt>
                <c:pt idx="13">
                  <c:v>39685</c:v>
                </c:pt>
                <c:pt idx="14">
                  <c:v>40244</c:v>
                </c:pt>
                <c:pt idx="15">
                  <c:v>41234</c:v>
                </c:pt>
                <c:pt idx="16">
                  <c:v>41247</c:v>
                </c:pt>
                <c:pt idx="17">
                  <c:v>41331</c:v>
                </c:pt>
                <c:pt idx="18">
                  <c:v>41338</c:v>
                </c:pt>
                <c:pt idx="19">
                  <c:v>41370</c:v>
                </c:pt>
                <c:pt idx="20">
                  <c:v>41924</c:v>
                </c:pt>
                <c:pt idx="21">
                  <c:v>42054</c:v>
                </c:pt>
                <c:pt idx="22">
                  <c:v>42084</c:v>
                </c:pt>
                <c:pt idx="23">
                  <c:v>42086</c:v>
                </c:pt>
                <c:pt idx="24">
                  <c:v>42111</c:v>
                </c:pt>
                <c:pt idx="25">
                  <c:v>42118</c:v>
                </c:pt>
                <c:pt idx="26">
                  <c:v>42587</c:v>
                </c:pt>
                <c:pt idx="27">
                  <c:v>42834</c:v>
                </c:pt>
                <c:pt idx="28">
                  <c:v>43767</c:v>
                </c:pt>
                <c:pt idx="29">
                  <c:v>44309</c:v>
                </c:pt>
                <c:pt idx="30">
                  <c:v>44364</c:v>
                </c:pt>
                <c:pt idx="31">
                  <c:v>44401</c:v>
                </c:pt>
                <c:pt idx="32">
                  <c:v>44469</c:v>
                </c:pt>
                <c:pt idx="33">
                  <c:v>44671</c:v>
                </c:pt>
                <c:pt idx="34">
                  <c:v>44800</c:v>
                </c:pt>
                <c:pt idx="35">
                  <c:v>44800</c:v>
                </c:pt>
                <c:pt idx="36">
                  <c:v>45323</c:v>
                </c:pt>
                <c:pt idx="37">
                  <c:v>45335</c:v>
                </c:pt>
                <c:pt idx="38">
                  <c:v>45402</c:v>
                </c:pt>
                <c:pt idx="39">
                  <c:v>45460</c:v>
                </c:pt>
                <c:pt idx="40">
                  <c:v>45987</c:v>
                </c:pt>
                <c:pt idx="41">
                  <c:v>45987</c:v>
                </c:pt>
                <c:pt idx="42">
                  <c:v>46067</c:v>
                </c:pt>
                <c:pt idx="43">
                  <c:v>46067</c:v>
                </c:pt>
                <c:pt idx="44">
                  <c:v>46093</c:v>
                </c:pt>
                <c:pt idx="45">
                  <c:v>47067</c:v>
                </c:pt>
                <c:pt idx="46">
                  <c:v>48652.5</c:v>
                </c:pt>
                <c:pt idx="47">
                  <c:v>48666.5</c:v>
                </c:pt>
                <c:pt idx="48">
                  <c:v>48835.5</c:v>
                </c:pt>
              </c:numCache>
            </c:numRef>
          </c:xVal>
          <c:yVal>
            <c:numRef>
              <c:f>'Active 1'!$P$21:$P$609</c:f>
              <c:numCache>
                <c:formatCode>General</c:formatCode>
                <c:ptCount val="589"/>
                <c:pt idx="0">
                  <c:v>0.72578690470443685</c:v>
                </c:pt>
                <c:pt idx="1">
                  <c:v>-1.187368706580294E-2</c:v>
                </c:pt>
                <c:pt idx="2">
                  <c:v>-1.2784652283309383E-2</c:v>
                </c:pt>
                <c:pt idx="3">
                  <c:v>-1.9499767315213856E-2</c:v>
                </c:pt>
                <c:pt idx="4">
                  <c:v>-2.3221710918168714E-2</c:v>
                </c:pt>
                <c:pt idx="5">
                  <c:v>-8.6130366081398235E-2</c:v>
                </c:pt>
                <c:pt idx="6">
                  <c:v>-0.10757709005926386</c:v>
                </c:pt>
                <c:pt idx="7">
                  <c:v>-0.2295423188945529</c:v>
                </c:pt>
                <c:pt idx="8">
                  <c:v>-0.24055198423755908</c:v>
                </c:pt>
                <c:pt idx="9">
                  <c:v>-0.24120267367863513</c:v>
                </c:pt>
                <c:pt idx="10">
                  <c:v>-0.24138486672213644</c:v>
                </c:pt>
                <c:pt idx="11">
                  <c:v>-0.3005325369159465</c:v>
                </c:pt>
                <c:pt idx="12">
                  <c:v>-0.30555585940105334</c:v>
                </c:pt>
                <c:pt idx="13">
                  <c:v>-0.30711751405963594</c:v>
                </c:pt>
                <c:pt idx="14">
                  <c:v>-0.32166692996209567</c:v>
                </c:pt>
                <c:pt idx="15">
                  <c:v>-0.34743423182870592</c:v>
                </c:pt>
                <c:pt idx="16">
                  <c:v>-0.34777259033806562</c:v>
                </c:pt>
                <c:pt idx="17">
                  <c:v>-0.34995890686008091</c:v>
                </c:pt>
                <c:pt idx="18">
                  <c:v>-0.35014109990358222</c:v>
                </c:pt>
                <c:pt idx="19">
                  <c:v>-0.35097398238815958</c:v>
                </c:pt>
                <c:pt idx="20">
                  <c:v>-0.36539326040240405</c:v>
                </c:pt>
                <c:pt idx="21">
                  <c:v>-0.36877684549599954</c:v>
                </c:pt>
                <c:pt idx="22">
                  <c:v>-0.36955767282529062</c:v>
                </c:pt>
                <c:pt idx="23">
                  <c:v>-0.36960972798057667</c:v>
                </c:pt>
                <c:pt idx="24">
                  <c:v>-0.37026041742165272</c:v>
                </c:pt>
                <c:pt idx="25">
                  <c:v>-0.37044261046515403</c:v>
                </c:pt>
                <c:pt idx="26">
                  <c:v>-0.38264954437974008</c:v>
                </c:pt>
                <c:pt idx="27">
                  <c:v>-0.38907835605757135</c:v>
                </c:pt>
                <c:pt idx="28">
                  <c:v>-0.41336208599852819</c:v>
                </c:pt>
                <c:pt idx="29">
                  <c:v>-0.42746903308105633</c:v>
                </c:pt>
                <c:pt idx="30">
                  <c:v>-0.42890054985142367</c:v>
                </c:pt>
                <c:pt idx="31">
                  <c:v>-0.42986357022421606</c:v>
                </c:pt>
                <c:pt idx="32">
                  <c:v>-0.43163344550394289</c:v>
                </c:pt>
                <c:pt idx="33">
                  <c:v>-0.4368910161878371</c:v>
                </c:pt>
                <c:pt idx="34">
                  <c:v>-0.44024857370378945</c:v>
                </c:pt>
                <c:pt idx="35">
                  <c:v>-0.44024857370378945</c:v>
                </c:pt>
                <c:pt idx="36">
                  <c:v>-0.4538609968110997</c:v>
                </c:pt>
                <c:pt idx="37">
                  <c:v>-0.45417332774281627</c:v>
                </c:pt>
                <c:pt idx="38">
                  <c:v>-0.45591717544489996</c:v>
                </c:pt>
                <c:pt idx="39">
                  <c:v>-0.45742677494819628</c:v>
                </c:pt>
                <c:pt idx="40">
                  <c:v>-0.47114330836607887</c:v>
                </c:pt>
                <c:pt idx="41">
                  <c:v>-0.47114330836607887</c:v>
                </c:pt>
                <c:pt idx="42">
                  <c:v>-0.47322551457752204</c:v>
                </c:pt>
                <c:pt idx="43">
                  <c:v>-0.47322551457752204</c:v>
                </c:pt>
                <c:pt idx="44">
                  <c:v>-0.47390223159624101</c:v>
                </c:pt>
                <c:pt idx="45">
                  <c:v>-0.4992530922205628</c:v>
                </c:pt>
                <c:pt idx="46">
                  <c:v>-0.54051981657360393</c:v>
                </c:pt>
                <c:pt idx="47">
                  <c:v>-0.54088420266060655</c:v>
                </c:pt>
                <c:pt idx="48">
                  <c:v>-0.54528286328228048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A7-4D50-BF91-213226808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383880"/>
        <c:axId val="1"/>
      </c:scatterChart>
      <c:valAx>
        <c:axId val="882383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4122782524525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2383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36177658643733"/>
          <c:y val="0.90937500000000004"/>
          <c:w val="0.2890076506394147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0</xdr:rowOff>
    </xdr:from>
    <xdr:to>
      <xdr:col>18</xdr:col>
      <xdr:colOff>571500</xdr:colOff>
      <xdr:row>18</xdr:row>
      <xdr:rowOff>66674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CFCE0EDF-69E8-FF20-63F0-16CE9F8DE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66674</xdr:rowOff>
    </xdr:from>
    <xdr:to>
      <xdr:col>13</xdr:col>
      <xdr:colOff>257175</xdr:colOff>
      <xdr:row>21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92F0A1-65B5-ADF0-380E-CC138C05D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22</xdr:row>
      <xdr:rowOff>104775</xdr:rowOff>
    </xdr:from>
    <xdr:to>
      <xdr:col>13</xdr:col>
      <xdr:colOff>200025</xdr:colOff>
      <xdr:row>39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597642-5DCD-C1BF-5E05-27E4679C8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09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bav-astro.de/sfs/BAVM_link.php?BAVMnr=172" TargetMode="External"/><Relationship Id="rId21" Type="http://schemas.openxmlformats.org/officeDocument/2006/relationships/hyperlink" Target="http://www.konkoly.hu/cgi-bin/IBVS?6094" TargetMode="External"/><Relationship Id="rId34" Type="http://schemas.openxmlformats.org/officeDocument/2006/relationships/hyperlink" Target="http://vsolj.cetus-net.org/vsoljno55.pdf" TargetMode="External"/><Relationship Id="rId7" Type="http://schemas.openxmlformats.org/officeDocument/2006/relationships/hyperlink" Target="http://www.bav-astro.de/sfs/BAVM_link.php?BAVMnr=201" TargetMode="External"/><Relationship Id="rId12" Type="http://schemas.openxmlformats.org/officeDocument/2006/relationships/hyperlink" Target="http://www.bav-astro.de/sfs/BAVM_link.php?BAVMnr=209" TargetMode="External"/><Relationship Id="rId17" Type="http://schemas.openxmlformats.org/officeDocument/2006/relationships/hyperlink" Target="http://www.konkoly.hu/cgi-bin/IBVS?6011" TargetMode="External"/><Relationship Id="rId25" Type="http://schemas.openxmlformats.org/officeDocument/2006/relationships/hyperlink" Target="http://www.bav-astro.de/sfs/BAVM_link.php?BAVMnr=193" TargetMode="External"/><Relationship Id="rId3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72" TargetMode="External"/><Relationship Id="rId16" Type="http://schemas.openxmlformats.org/officeDocument/2006/relationships/hyperlink" Target="http://www.bav-astro.de/sfs/BAVM_link.php?BAVMnr=228" TargetMode="External"/><Relationship Id="rId20" Type="http://schemas.openxmlformats.org/officeDocument/2006/relationships/hyperlink" Target="http://www.konkoly.hu/cgi-bin/IBVS?6042" TargetMode="External"/><Relationship Id="rId29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bav-astro.de/sfs/BAVM_link.php?BAVMnr=172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www.bav-astro.de/sfs/BAVM_link.php?BAVMnr=209" TargetMode="External"/><Relationship Id="rId24" Type="http://schemas.openxmlformats.org/officeDocument/2006/relationships/hyperlink" Target="http://www.bav-astro.de/sfs/BAVM_link.php?BAVMnr=239" TargetMode="External"/><Relationship Id="rId32" Type="http://schemas.openxmlformats.org/officeDocument/2006/relationships/hyperlink" Target="http://www.bav-astro.de/sfs/BAVM_link.php?BAVMnr=225" TargetMode="External"/><Relationship Id="rId37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var.astro.cz/oejv/issues/oejv0160.pdf" TargetMode="External"/><Relationship Id="rId23" Type="http://schemas.openxmlformats.org/officeDocument/2006/relationships/hyperlink" Target="http://www.bav-astro.de/sfs/BAVM_link.php?BAVMnr=234" TargetMode="External"/><Relationship Id="rId28" Type="http://schemas.openxmlformats.org/officeDocument/2006/relationships/hyperlink" Target="http://www.bav-astro.de/sfs/BAVM_link.php?BAVMnr=203" TargetMode="External"/><Relationship Id="rId36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871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konkoly.hu/cgi-bin/IBVS?5677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www.konkoly.hu/cgi-bin/IBVS?5960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www.bav-astro.de/sfs/BAVM_link.php?BAVMnr=203" TargetMode="External"/><Relationship Id="rId30" Type="http://schemas.openxmlformats.org/officeDocument/2006/relationships/hyperlink" Target="http://www.bav-astro.de/sfs/BAVM_link.php?BAVMnr=212" TargetMode="External"/><Relationship Id="rId35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workbookViewId="0">
      <pane xSplit="13" ySplit="22" topLeftCell="N50" activePane="bottomRight" state="frozen"/>
      <selection pane="topRight" activeCell="N1" sqref="N1"/>
      <selection pane="bottomLeft" activeCell="A23" sqref="A23"/>
      <selection pane="bottomRight" activeCell="E8" sqref="E8:F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57031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3" t="s">
        <v>2</v>
      </c>
      <c r="C2" s="4" t="s">
        <v>3</v>
      </c>
    </row>
    <row r="4" spans="1:7" x14ac:dyDescent="0.2">
      <c r="A4" s="5" t="s">
        <v>4</v>
      </c>
      <c r="C4" s="6">
        <v>36599.245999999999</v>
      </c>
      <c r="D4" s="7">
        <v>0.433224</v>
      </c>
    </row>
    <row r="5" spans="1:7" x14ac:dyDescent="0.2">
      <c r="A5" s="8" t="s">
        <v>5</v>
      </c>
      <c r="B5"/>
      <c r="C5" s="9">
        <v>-9.5</v>
      </c>
      <c r="D5" t="s">
        <v>6</v>
      </c>
    </row>
    <row r="6" spans="1:7" x14ac:dyDescent="0.2">
      <c r="A6" s="5" t="s">
        <v>7</v>
      </c>
    </row>
    <row r="7" spans="1:7" x14ac:dyDescent="0.2">
      <c r="A7" s="1" t="s">
        <v>8</v>
      </c>
      <c r="C7" s="1">
        <f>+C4</f>
        <v>36599.245999999999</v>
      </c>
    </row>
    <row r="8" spans="1:7" x14ac:dyDescent="0.2">
      <c r="A8" s="1" t="s">
        <v>9</v>
      </c>
      <c r="C8" s="1">
        <f>+D4</f>
        <v>0.433224</v>
      </c>
    </row>
    <row r="9" spans="1:7" x14ac:dyDescent="0.2">
      <c r="A9" s="10" t="s">
        <v>10</v>
      </c>
      <c r="B9" s="10"/>
      <c r="C9" s="11">
        <v>21</v>
      </c>
      <c r="D9" s="11">
        <v>21</v>
      </c>
    </row>
    <row r="10" spans="1:7" x14ac:dyDescent="0.2">
      <c r="A10"/>
      <c r="B10"/>
      <c r="C10" s="12" t="s">
        <v>11</v>
      </c>
      <c r="D10" s="12" t="s">
        <v>12</v>
      </c>
    </row>
    <row r="11" spans="1:7" x14ac:dyDescent="0.2">
      <c r="A11" t="s">
        <v>13</v>
      </c>
      <c r="B11"/>
      <c r="C11" s="13">
        <f ca="1">INTERCEPT(INDIRECT(C14):R$934,INDIRECT(C13):$F$934)</f>
        <v>-0.84061385276861866</v>
      </c>
      <c r="D11" s="13">
        <f ca="1">INTERCEPT(INDIRECT(D14):S$934,INDIRECT(D13):$F$934)</f>
        <v>0.72578690470443685</v>
      </c>
      <c r="E11" s="10" t="s">
        <v>14</v>
      </c>
      <c r="F11" s="1">
        <v>1</v>
      </c>
      <c r="G11" s="14" t="str">
        <f>"G"&amp;E19</f>
        <v>G13</v>
      </c>
    </row>
    <row r="12" spans="1:7" x14ac:dyDescent="0.2">
      <c r="A12" t="s">
        <v>15</v>
      </c>
      <c r="B12"/>
      <c r="C12" s="13">
        <f ca="1">SLOPE(INDIRECT(C14):R$934,INDIRECT(C13):$F$934)</f>
        <v>1.0291678673177876E-5</v>
      </c>
      <c r="D12" s="13">
        <f ca="1">SLOPE(INDIRECT(D14):S$934,INDIRECT(D13):$F$934)</f>
        <v>-2.6027577643040764E-5</v>
      </c>
      <c r="E12" s="10" t="s">
        <v>16</v>
      </c>
      <c r="F12" s="13">
        <f ca="1">NOW()+15018.5+$C$5/24</f>
        <v>60372.742973263885</v>
      </c>
    </row>
    <row r="13" spans="1:7" x14ac:dyDescent="0.2">
      <c r="A13" s="10" t="s">
        <v>17</v>
      </c>
      <c r="B13" s="10"/>
      <c r="C13" s="11" t="str">
        <f>"F"&amp;C9</f>
        <v>F21</v>
      </c>
      <c r="D13" s="11" t="str">
        <f>"F"&amp;D9</f>
        <v>F21</v>
      </c>
      <c r="E13" s="10" t="s">
        <v>18</v>
      </c>
      <c r="F13" s="13">
        <f ca="1">ROUND(2*(F12-$C$7)/$C$8,0)/2+F11</f>
        <v>54877</v>
      </c>
    </row>
    <row r="14" spans="1:7" x14ac:dyDescent="0.2">
      <c r="A14" s="10" t="s">
        <v>19</v>
      </c>
      <c r="B14" s="10"/>
      <c r="C14" s="11" t="str">
        <f>"R"&amp;C9</f>
        <v>R21</v>
      </c>
      <c r="D14" s="11" t="str">
        <f>"S"&amp;D9</f>
        <v>S21</v>
      </c>
      <c r="E14" s="10" t="s">
        <v>20</v>
      </c>
      <c r="F14" s="14">
        <f ca="1">ROUND(2*(F12-$C$15)/$C$16,0)/2+F11</f>
        <v>6042.5</v>
      </c>
    </row>
    <row r="15" spans="1:7" x14ac:dyDescent="0.2">
      <c r="A15" s="15" t="s">
        <v>21</v>
      </c>
      <c r="B15"/>
      <c r="C15" s="16">
        <f ca="1">($C7+C11)+($C8+C12)*INT(MAX($F21:$F3532))</f>
        <v>57755.402020275229</v>
      </c>
      <c r="D15" s="16">
        <f ca="1">($C7+D11)+($C8+D12)*INT(MAX($F21:$F3532))</f>
        <v>57755.194770150505</v>
      </c>
      <c r="E15" s="10" t="s">
        <v>22</v>
      </c>
      <c r="F15" s="17">
        <f ca="1">+$C$15+$C$16*F14-15018.5-$C$5/24</f>
        <v>45355.116061076951</v>
      </c>
    </row>
    <row r="16" spans="1:7" x14ac:dyDescent="0.2">
      <c r="A16" s="15" t="s">
        <v>23</v>
      </c>
      <c r="B16"/>
      <c r="C16" s="16">
        <f ca="1">+$C8+C12</f>
        <v>0.43323429167867317</v>
      </c>
      <c r="D16" s="13">
        <f ca="1">+$C8+D12</f>
        <v>0.43319797242235697</v>
      </c>
      <c r="E16" s="18"/>
      <c r="F16" s="18" t="s">
        <v>24</v>
      </c>
    </row>
    <row r="17" spans="1:30" x14ac:dyDescent="0.2">
      <c r="A17" s="19" t="s">
        <v>25</v>
      </c>
      <c r="C17" s="1">
        <f>COUNT(C21:C1246)</f>
        <v>49</v>
      </c>
    </row>
    <row r="18" spans="1:30" x14ac:dyDescent="0.2">
      <c r="A18" s="5" t="s">
        <v>26</v>
      </c>
      <c r="C18" s="6">
        <f ca="1">+C15</f>
        <v>57755.402020275229</v>
      </c>
      <c r="D18" s="7">
        <f ca="1">+C16</f>
        <v>0.43323429167867317</v>
      </c>
      <c r="E18" s="20">
        <f>R19</f>
        <v>35</v>
      </c>
    </row>
    <row r="19" spans="1:30" x14ac:dyDescent="0.2">
      <c r="A19" s="5" t="s">
        <v>27</v>
      </c>
      <c r="C19" s="6">
        <f ca="1">+D15</f>
        <v>57755.194770150505</v>
      </c>
      <c r="D19" s="7">
        <f ca="1">+D16</f>
        <v>0.43319797242235697</v>
      </c>
      <c r="E19" s="20">
        <f>S19</f>
        <v>13</v>
      </c>
      <c r="R19" s="1">
        <f>COUNT(R21:R321)</f>
        <v>35</v>
      </c>
      <c r="S19" s="1">
        <f>COUNT(S21:S321)</f>
        <v>13</v>
      </c>
    </row>
    <row r="20" spans="1:30" x14ac:dyDescent="0.2">
      <c r="A20" s="12" t="s">
        <v>28</v>
      </c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12" t="s">
        <v>34</v>
      </c>
      <c r="H20" s="21" t="s">
        <v>35</v>
      </c>
      <c r="I20" s="21" t="s">
        <v>270</v>
      </c>
      <c r="J20" s="21" t="s">
        <v>271</v>
      </c>
      <c r="K20" s="21" t="s">
        <v>272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2" t="s">
        <v>41</v>
      </c>
      <c r="R20" s="22" t="s">
        <v>11</v>
      </c>
      <c r="S20" s="22" t="s">
        <v>12</v>
      </c>
    </row>
    <row r="21" spans="1:30" s="23" customFormat="1" ht="12.75" customHeight="1" x14ac:dyDescent="0.2">
      <c r="A21" s="23" t="s">
        <v>35</v>
      </c>
      <c r="C21" s="24">
        <v>36599.245999999999</v>
      </c>
      <c r="D21" s="24" t="s">
        <v>42</v>
      </c>
      <c r="E21" s="23">
        <f t="shared" ref="E21:E66" si="0">+(C21-C$7)/C$8</f>
        <v>0</v>
      </c>
      <c r="F21" s="23">
        <f t="shared" ref="F21:F27" si="1">ROUND(2*E21,0)/2</f>
        <v>0</v>
      </c>
      <c r="H21" s="14">
        <v>0</v>
      </c>
      <c r="O21" s="1">
        <f t="shared" ref="O21:O66" ca="1" si="2">+C$11+C$12*$F21</f>
        <v>-0.84061385276861866</v>
      </c>
      <c r="P21" s="1">
        <f t="shared" ref="P21:P66" ca="1" si="3">+D$11+D$12*$F21</f>
        <v>0.72578690470443685</v>
      </c>
      <c r="Q21" s="63">
        <f t="shared" ref="Q21:Q66" si="4">+C21-15018.5</f>
        <v>21580.745999999999</v>
      </c>
      <c r="R21" s="1"/>
      <c r="S21" s="1"/>
    </row>
    <row r="22" spans="1:30" s="23" customFormat="1" ht="12.75" customHeight="1" x14ac:dyDescent="0.2">
      <c r="A22" s="23" t="s">
        <v>43</v>
      </c>
      <c r="C22" s="24">
        <v>48877.438999999998</v>
      </c>
      <c r="D22" s="24">
        <v>3.0000000000000001E-3</v>
      </c>
      <c r="E22" s="23">
        <f t="shared" si="0"/>
        <v>28341.442302365518</v>
      </c>
      <c r="F22" s="23">
        <f t="shared" si="1"/>
        <v>28341.5</v>
      </c>
      <c r="G22" s="23">
        <f t="shared" ref="G22:G66" si="5">+C22-(C$7+F22*C$8)</f>
        <v>-2.4996000000101048E-2</v>
      </c>
      <c r="I22" s="23">
        <f>+G22</f>
        <v>-2.4996000000101048E-2</v>
      </c>
      <c r="O22" s="23">
        <f t="shared" ca="1" si="2"/>
        <v>-0.5489322416527479</v>
      </c>
      <c r="P22" s="1">
        <f t="shared" ca="1" si="3"/>
        <v>-1.187368706580294E-2</v>
      </c>
      <c r="Q22" s="64">
        <f t="shared" si="4"/>
        <v>33858.938999999998</v>
      </c>
      <c r="S22" s="1">
        <f t="shared" ref="S22:S31" si="6">G22</f>
        <v>-2.4996000000101048E-2</v>
      </c>
      <c r="Z22" s="25">
        <v>10</v>
      </c>
      <c r="AB22" s="23" t="s">
        <v>44</v>
      </c>
      <c r="AD22" s="23" t="s">
        <v>45</v>
      </c>
    </row>
    <row r="23" spans="1:30" s="23" customFormat="1" ht="12.75" customHeight="1" x14ac:dyDescent="0.2">
      <c r="A23" s="23" t="s">
        <v>43</v>
      </c>
      <c r="C23" s="24">
        <v>48892.63</v>
      </c>
      <c r="D23" s="24">
        <v>2E-3</v>
      </c>
      <c r="E23" s="23">
        <f t="shared" si="0"/>
        <v>28376.507303381157</v>
      </c>
      <c r="F23" s="23">
        <f t="shared" si="1"/>
        <v>28376.5</v>
      </c>
      <c r="G23" s="23">
        <f t="shared" si="5"/>
        <v>3.1640000015613623E-3</v>
      </c>
      <c r="I23" s="23">
        <f>+G23</f>
        <v>3.1640000015613623E-3</v>
      </c>
      <c r="O23" s="23">
        <f t="shared" ca="1" si="2"/>
        <v>-0.54857203289918666</v>
      </c>
      <c r="P23" s="1">
        <f t="shared" ca="1" si="3"/>
        <v>-1.2784652283309383E-2</v>
      </c>
      <c r="Q23" s="64">
        <f t="shared" si="4"/>
        <v>33874.129999999997</v>
      </c>
      <c r="S23" s="1">
        <f t="shared" si="6"/>
        <v>3.1640000015613623E-3</v>
      </c>
      <c r="Z23" s="25">
        <v>11</v>
      </c>
      <c r="AB23" s="23" t="s">
        <v>44</v>
      </c>
      <c r="AD23" s="23" t="s">
        <v>45</v>
      </c>
    </row>
    <row r="24" spans="1:30" s="23" customFormat="1" ht="12.75" customHeight="1" x14ac:dyDescent="0.2">
      <c r="A24" s="23" t="s">
        <v>43</v>
      </c>
      <c r="C24" s="24">
        <v>49004.37</v>
      </c>
      <c r="D24" s="24">
        <v>2E-3</v>
      </c>
      <c r="E24" s="23">
        <f t="shared" si="0"/>
        <v>28634.433918711806</v>
      </c>
      <c r="F24" s="23">
        <f t="shared" si="1"/>
        <v>28634.5</v>
      </c>
      <c r="G24" s="23">
        <f t="shared" si="5"/>
        <v>-2.8627999992750119E-2</v>
      </c>
      <c r="I24" s="23">
        <f>+G24</f>
        <v>-2.8627999992750119E-2</v>
      </c>
      <c r="O24" s="23">
        <f t="shared" ca="1" si="2"/>
        <v>-0.54591677980150677</v>
      </c>
      <c r="P24" s="1">
        <f t="shared" ca="1" si="3"/>
        <v>-1.9499767315213856E-2</v>
      </c>
      <c r="Q24" s="64">
        <f t="shared" si="4"/>
        <v>33985.870000000003</v>
      </c>
      <c r="S24" s="1">
        <f t="shared" si="6"/>
        <v>-2.8627999992750119E-2</v>
      </c>
      <c r="Z24" s="25">
        <v>10</v>
      </c>
      <c r="AB24" s="23" t="s">
        <v>44</v>
      </c>
      <c r="AD24" s="23" t="s">
        <v>45</v>
      </c>
    </row>
    <row r="25" spans="1:30" s="23" customFormat="1" ht="12.75" customHeight="1" x14ac:dyDescent="0.2">
      <c r="A25" s="23" t="s">
        <v>43</v>
      </c>
      <c r="C25" s="24">
        <v>49066.341999999997</v>
      </c>
      <c r="D25" s="24">
        <v>5.0000000000000001E-3</v>
      </c>
      <c r="E25" s="23">
        <f t="shared" si="0"/>
        <v>28777.48231861577</v>
      </c>
      <c r="F25" s="23">
        <f t="shared" si="1"/>
        <v>28777.5</v>
      </c>
      <c r="G25" s="23">
        <f t="shared" si="5"/>
        <v>-7.6600000029429793E-3</v>
      </c>
      <c r="I25" s="23">
        <f>+G25</f>
        <v>-7.6600000029429793E-3</v>
      </c>
      <c r="O25" s="23">
        <f t="shared" ca="1" si="2"/>
        <v>-0.54444506975124241</v>
      </c>
      <c r="P25" s="1">
        <f t="shared" ca="1" si="3"/>
        <v>-2.3221710918168714E-2</v>
      </c>
      <c r="Q25" s="64">
        <f t="shared" si="4"/>
        <v>34047.841999999997</v>
      </c>
      <c r="S25" s="1">
        <f t="shared" si="6"/>
        <v>-7.6600000029429793E-3</v>
      </c>
      <c r="Z25" s="25">
        <v>14</v>
      </c>
      <c r="AB25" s="23" t="s">
        <v>44</v>
      </c>
    </row>
    <row r="26" spans="1:30" s="23" customFormat="1" ht="12.75" customHeight="1" x14ac:dyDescent="0.2">
      <c r="A26" s="23" t="s">
        <v>46</v>
      </c>
      <c r="C26" s="24">
        <v>50113.364200000004</v>
      </c>
      <c r="D26" s="24"/>
      <c r="E26" s="23">
        <f t="shared" si="0"/>
        <v>31194.297176518394</v>
      </c>
      <c r="F26" s="23">
        <f t="shared" si="1"/>
        <v>31194.5</v>
      </c>
      <c r="G26" s="23">
        <f t="shared" si="5"/>
        <v>-8.7867999995069113E-2</v>
      </c>
      <c r="J26" s="23">
        <f t="shared" ref="J26:J35" si="7">+G26</f>
        <v>-8.7867999995069113E-2</v>
      </c>
      <c r="O26" s="23">
        <f t="shared" ca="1" si="2"/>
        <v>-0.51957008239817148</v>
      </c>
      <c r="P26" s="1">
        <f t="shared" ca="1" si="3"/>
        <v>-8.6130366081398235E-2</v>
      </c>
      <c r="Q26" s="64">
        <f t="shared" si="4"/>
        <v>35094.864200000004</v>
      </c>
      <c r="S26" s="1">
        <f t="shared" si="6"/>
        <v>-8.7867999995069113E-2</v>
      </c>
    </row>
    <row r="27" spans="1:30" s="23" customFormat="1" ht="12.75" customHeight="1" x14ac:dyDescent="0.2">
      <c r="A27" s="23" t="s">
        <v>47</v>
      </c>
      <c r="C27" s="26">
        <v>50470.327400000002</v>
      </c>
      <c r="D27" s="26">
        <v>4.0000000000000001E-3</v>
      </c>
      <c r="E27" s="23">
        <f t="shared" si="0"/>
        <v>32018.266301035961</v>
      </c>
      <c r="F27" s="23">
        <f t="shared" si="1"/>
        <v>32018.5</v>
      </c>
      <c r="G27" s="23">
        <f t="shared" si="5"/>
        <v>-0.10124399999767775</v>
      </c>
      <c r="K27" s="23">
        <f>+G27</f>
        <v>-0.10124399999767775</v>
      </c>
      <c r="O27" s="23">
        <f t="shared" ca="1" si="2"/>
        <v>-0.51108973917147282</v>
      </c>
      <c r="P27" s="1">
        <f t="shared" ca="1" si="3"/>
        <v>-0.10757709005926386</v>
      </c>
      <c r="Q27" s="64">
        <f t="shared" si="4"/>
        <v>35451.827400000002</v>
      </c>
      <c r="S27" s="1">
        <f t="shared" si="6"/>
        <v>-0.10124399999767775</v>
      </c>
      <c r="U27" s="23" t="s">
        <v>48</v>
      </c>
    </row>
    <row r="28" spans="1:30" s="23" customFormat="1" ht="12.75" customHeight="1" x14ac:dyDescent="0.2">
      <c r="A28" s="27" t="s">
        <v>49</v>
      </c>
      <c r="C28" s="24">
        <v>52500.269</v>
      </c>
      <c r="D28" s="24"/>
      <c r="E28" s="23">
        <f t="shared" si="0"/>
        <v>36703.929145199712</v>
      </c>
      <c r="F28" s="28">
        <f>ROUND(2*E28,0)/2+0.5</f>
        <v>36704.5</v>
      </c>
      <c r="G28" s="23">
        <f t="shared" si="5"/>
        <v>-0.24730799999815645</v>
      </c>
      <c r="J28" s="23">
        <f t="shared" si="7"/>
        <v>-0.24730799999815645</v>
      </c>
      <c r="O28" s="23">
        <f t="shared" ca="1" si="2"/>
        <v>-0.4628629329089613</v>
      </c>
      <c r="P28" s="1">
        <f t="shared" ca="1" si="3"/>
        <v>-0.2295423188945529</v>
      </c>
      <c r="Q28" s="64">
        <f t="shared" si="4"/>
        <v>37481.769</v>
      </c>
      <c r="S28" s="1">
        <f t="shared" si="6"/>
        <v>-0.24730799999815645</v>
      </c>
    </row>
    <row r="29" spans="1:30" s="23" customFormat="1" ht="12.75" customHeight="1" x14ac:dyDescent="0.2">
      <c r="A29" s="29" t="s">
        <v>50</v>
      </c>
      <c r="B29" s="30" t="s">
        <v>51</v>
      </c>
      <c r="C29" s="31">
        <v>52683.5317</v>
      </c>
      <c r="D29" s="31">
        <v>5.5999999999999999E-3</v>
      </c>
      <c r="E29" s="23">
        <f t="shared" si="0"/>
        <v>37126.949799641756</v>
      </c>
      <c r="F29" s="28">
        <f>ROUND(2*E29,0)/2+0.5</f>
        <v>37127.5</v>
      </c>
      <c r="G29" s="23">
        <f t="shared" si="5"/>
        <v>-0.23835999999573687</v>
      </c>
      <c r="K29" s="23">
        <f>+G29</f>
        <v>-0.23835999999573687</v>
      </c>
      <c r="O29" s="23">
        <f t="shared" ca="1" si="2"/>
        <v>-0.45850955283020706</v>
      </c>
      <c r="P29" s="1">
        <f t="shared" ca="1" si="3"/>
        <v>-0.24055198423755908</v>
      </c>
      <c r="Q29" s="64">
        <f t="shared" si="4"/>
        <v>37665.0317</v>
      </c>
      <c r="S29" s="1">
        <f t="shared" si="6"/>
        <v>-0.23835999999573687</v>
      </c>
    </row>
    <row r="30" spans="1:30" s="23" customFormat="1" ht="12.75" customHeight="1" x14ac:dyDescent="0.2">
      <c r="A30" s="29" t="s">
        <v>50</v>
      </c>
      <c r="B30" s="32"/>
      <c r="C30" s="31">
        <v>52694.351600000002</v>
      </c>
      <c r="D30" s="31">
        <v>3.5000000000000001E-3</v>
      </c>
      <c r="E30" s="23">
        <f t="shared" si="0"/>
        <v>37151.925101102439</v>
      </c>
      <c r="F30" s="28">
        <f>ROUND(2*E30,0)/2+0.5</f>
        <v>37152.5</v>
      </c>
      <c r="G30" s="23">
        <f t="shared" si="5"/>
        <v>-0.24905999999464257</v>
      </c>
      <c r="K30" s="23">
        <f>+G30</f>
        <v>-0.24905999999464257</v>
      </c>
      <c r="O30" s="23">
        <f t="shared" ca="1" si="2"/>
        <v>-0.45825226086337761</v>
      </c>
      <c r="P30" s="1">
        <f t="shared" ca="1" si="3"/>
        <v>-0.24120267367863513</v>
      </c>
      <c r="Q30" s="64">
        <f t="shared" si="4"/>
        <v>37675.851600000002</v>
      </c>
      <c r="S30" s="1">
        <f t="shared" si="6"/>
        <v>-0.24905999999464257</v>
      </c>
    </row>
    <row r="31" spans="1:30" s="23" customFormat="1" ht="12.75" customHeight="1" x14ac:dyDescent="0.2">
      <c r="A31" s="29" t="s">
        <v>50</v>
      </c>
      <c r="B31" s="30" t="s">
        <v>51</v>
      </c>
      <c r="C31" s="31">
        <v>52697.393600000003</v>
      </c>
      <c r="D31" s="31">
        <v>3.5000000000000001E-3</v>
      </c>
      <c r="E31" s="23">
        <f t="shared" si="0"/>
        <v>37158.946872749439</v>
      </c>
      <c r="F31" s="28">
        <f>ROUND(2*E31,0)/2+0.5</f>
        <v>37159.5</v>
      </c>
      <c r="G31" s="23">
        <f t="shared" si="5"/>
        <v>-0.23962799999571871</v>
      </c>
      <c r="K31" s="23">
        <f>+G31</f>
        <v>-0.23962799999571871</v>
      </c>
      <c r="O31" s="23">
        <f t="shared" ca="1" si="2"/>
        <v>-0.45818021911266538</v>
      </c>
      <c r="P31" s="1">
        <f t="shared" ca="1" si="3"/>
        <v>-0.24138486672213644</v>
      </c>
      <c r="Q31" s="64">
        <f t="shared" si="4"/>
        <v>37678.893600000003</v>
      </c>
      <c r="S31" s="1">
        <f t="shared" si="6"/>
        <v>-0.23962799999571871</v>
      </c>
    </row>
    <row r="32" spans="1:30" s="23" customFormat="1" ht="12.75" customHeight="1" x14ac:dyDescent="0.2">
      <c r="A32" s="33" t="s">
        <v>52</v>
      </c>
      <c r="B32" s="34" t="s">
        <v>53</v>
      </c>
      <c r="C32" s="33">
        <v>53681.7019</v>
      </c>
      <c r="D32" s="33">
        <v>2.9999999999999997E-4</v>
      </c>
      <c r="E32" s="23">
        <f t="shared" si="0"/>
        <v>39431.000821745794</v>
      </c>
      <c r="F32" s="28">
        <f t="shared" ref="F32:F68" si="8">ROUND(2*E32,0)/2+1</f>
        <v>39432</v>
      </c>
      <c r="G32" s="23">
        <f t="shared" si="5"/>
        <v>-0.43286800000350922</v>
      </c>
      <c r="K32" s="23">
        <f>+G32</f>
        <v>-0.43286800000350922</v>
      </c>
      <c r="O32" s="23">
        <f t="shared" ca="1" si="2"/>
        <v>-0.43479237932786863</v>
      </c>
      <c r="P32" s="1">
        <f t="shared" ca="1" si="3"/>
        <v>-0.3005325369159465</v>
      </c>
      <c r="Q32" s="64">
        <f t="shared" si="4"/>
        <v>38663.2019</v>
      </c>
      <c r="R32" s="1">
        <f t="shared" ref="R32:R66" si="9">G32</f>
        <v>-0.43286800000350922</v>
      </c>
    </row>
    <row r="33" spans="1:18" s="23" customFormat="1" ht="12.75" customHeight="1" x14ac:dyDescent="0.2">
      <c r="A33" s="33" t="s">
        <v>54</v>
      </c>
      <c r="B33" s="34" t="s">
        <v>53</v>
      </c>
      <c r="C33" s="33">
        <v>53765.31</v>
      </c>
      <c r="D33" s="33">
        <v>5.9999999999999995E-4</v>
      </c>
      <c r="E33" s="23">
        <f t="shared" si="0"/>
        <v>39623.991283954718</v>
      </c>
      <c r="F33" s="28">
        <f t="shared" si="8"/>
        <v>39625</v>
      </c>
      <c r="G33" s="23">
        <f t="shared" si="5"/>
        <v>-0.4370000000053551</v>
      </c>
      <c r="K33" s="23">
        <f>+G33</f>
        <v>-0.4370000000053551</v>
      </c>
      <c r="O33" s="23">
        <f t="shared" ca="1" si="2"/>
        <v>-0.43280608534394532</v>
      </c>
      <c r="P33" s="1">
        <f t="shared" ca="1" si="3"/>
        <v>-0.30555585940105334</v>
      </c>
      <c r="Q33" s="64">
        <f t="shared" si="4"/>
        <v>38746.81</v>
      </c>
      <c r="R33" s="1">
        <f t="shared" si="9"/>
        <v>-0.4370000000053551</v>
      </c>
    </row>
    <row r="34" spans="1:18" s="23" customFormat="1" ht="12.75" customHeight="1" x14ac:dyDescent="0.2">
      <c r="A34" s="33" t="s">
        <v>55</v>
      </c>
      <c r="B34" s="34" t="s">
        <v>53</v>
      </c>
      <c r="C34" s="33">
        <v>53791.304900000003</v>
      </c>
      <c r="D34" s="33">
        <v>3.5000000000000001E-3</v>
      </c>
      <c r="E34" s="23">
        <f t="shared" si="0"/>
        <v>39683.9946540358</v>
      </c>
      <c r="F34" s="28">
        <f t="shared" si="8"/>
        <v>39685</v>
      </c>
      <c r="G34" s="23">
        <f t="shared" si="5"/>
        <v>-0.4355399999913061</v>
      </c>
      <c r="K34" s="23">
        <f>+G34</f>
        <v>-0.4355399999913061</v>
      </c>
      <c r="O34" s="23">
        <f t="shared" ca="1" si="2"/>
        <v>-0.43218858462355464</v>
      </c>
      <c r="P34" s="1">
        <f t="shared" ca="1" si="3"/>
        <v>-0.30711751405963594</v>
      </c>
      <c r="Q34" s="64">
        <f t="shared" si="4"/>
        <v>38772.804900000003</v>
      </c>
      <c r="R34" s="1">
        <f t="shared" si="9"/>
        <v>-0.4355399999913061</v>
      </c>
    </row>
    <row r="35" spans="1:18" s="23" customFormat="1" ht="12.75" customHeight="1" x14ac:dyDescent="0.2">
      <c r="A35" s="35" t="s">
        <v>56</v>
      </c>
      <c r="B35" s="30" t="s">
        <v>51</v>
      </c>
      <c r="C35" s="35">
        <v>54033.4905</v>
      </c>
      <c r="D35" s="35">
        <v>1.8E-3</v>
      </c>
      <c r="E35" s="23">
        <f t="shared" si="0"/>
        <v>40243.025547984413</v>
      </c>
      <c r="F35" s="28">
        <f t="shared" si="8"/>
        <v>40244</v>
      </c>
      <c r="G35" s="23">
        <f t="shared" si="5"/>
        <v>-0.4221560000005411</v>
      </c>
      <c r="K35" s="23">
        <f>+G35</f>
        <v>-0.4221560000005411</v>
      </c>
      <c r="O35" s="23">
        <f t="shared" ca="1" si="2"/>
        <v>-0.42643553624524821</v>
      </c>
      <c r="P35" s="1">
        <f t="shared" ca="1" si="3"/>
        <v>-0.32166692996209567</v>
      </c>
      <c r="Q35" s="64">
        <f t="shared" si="4"/>
        <v>39014.9905</v>
      </c>
      <c r="R35" s="1">
        <f t="shared" si="9"/>
        <v>-0.4221560000005411</v>
      </c>
    </row>
    <row r="36" spans="1:18" s="23" customFormat="1" ht="12.75" customHeight="1" x14ac:dyDescent="0.2">
      <c r="A36" s="36" t="s">
        <v>57</v>
      </c>
      <c r="B36" s="37" t="s">
        <v>53</v>
      </c>
      <c r="C36" s="36">
        <v>54462.387999999999</v>
      </c>
      <c r="E36" s="23">
        <f t="shared" si="0"/>
        <v>41233.038797481211</v>
      </c>
      <c r="F36" s="28">
        <f t="shared" si="8"/>
        <v>41234</v>
      </c>
      <c r="G36" s="23">
        <f t="shared" si="5"/>
        <v>-0.41641600000002654</v>
      </c>
      <c r="J36" s="23">
        <f>+G36</f>
        <v>-0.41641600000002654</v>
      </c>
      <c r="O36" s="23">
        <f t="shared" ca="1" si="2"/>
        <v>-0.41624677435880214</v>
      </c>
      <c r="P36" s="1">
        <f t="shared" ca="1" si="3"/>
        <v>-0.34743423182870592</v>
      </c>
      <c r="Q36" s="64">
        <f t="shared" si="4"/>
        <v>39443.887999999999</v>
      </c>
      <c r="R36" s="1">
        <f t="shared" si="9"/>
        <v>-0.41641600000002654</v>
      </c>
    </row>
    <row r="37" spans="1:18" s="23" customFormat="1" ht="12.75" customHeight="1" x14ac:dyDescent="0.2">
      <c r="A37" s="36" t="s">
        <v>58</v>
      </c>
      <c r="B37" s="37" t="s">
        <v>53</v>
      </c>
      <c r="C37" s="36">
        <v>54468.016100000001</v>
      </c>
      <c r="E37" s="23">
        <f t="shared" si="0"/>
        <v>41246.029998338046</v>
      </c>
      <c r="F37" s="28">
        <f t="shared" si="8"/>
        <v>41247</v>
      </c>
      <c r="G37" s="23">
        <f t="shared" si="5"/>
        <v>-0.42022799999540439</v>
      </c>
      <c r="J37" s="23">
        <f>+G37</f>
        <v>-0.42022799999540439</v>
      </c>
      <c r="O37" s="23">
        <f t="shared" ca="1" si="2"/>
        <v>-0.41611298253605078</v>
      </c>
      <c r="P37" s="1">
        <f t="shared" ca="1" si="3"/>
        <v>-0.34777259033806562</v>
      </c>
      <c r="Q37" s="64">
        <f t="shared" si="4"/>
        <v>39449.516100000001</v>
      </c>
      <c r="R37" s="1">
        <f t="shared" si="9"/>
        <v>-0.42022799999540439</v>
      </c>
    </row>
    <row r="38" spans="1:18" s="23" customFormat="1" ht="12.75" customHeight="1" x14ac:dyDescent="0.2">
      <c r="A38" s="36" t="s">
        <v>59</v>
      </c>
      <c r="B38" s="37" t="s">
        <v>53</v>
      </c>
      <c r="C38" s="36">
        <v>54504.408000000003</v>
      </c>
      <c r="E38" s="23">
        <f t="shared" si="0"/>
        <v>41330.032500507827</v>
      </c>
      <c r="F38" s="28">
        <f t="shared" si="8"/>
        <v>41331</v>
      </c>
      <c r="G38" s="23">
        <f t="shared" si="5"/>
        <v>-0.41914399999222951</v>
      </c>
      <c r="J38" s="23">
        <f>+G38</f>
        <v>-0.41914399999222951</v>
      </c>
      <c r="O38" s="23">
        <f t="shared" ca="1" si="2"/>
        <v>-0.41524848152750388</v>
      </c>
      <c r="P38" s="1">
        <f t="shared" ca="1" si="3"/>
        <v>-0.34995890686008091</v>
      </c>
      <c r="Q38" s="64">
        <f t="shared" si="4"/>
        <v>39485.908000000003</v>
      </c>
      <c r="R38" s="1">
        <f t="shared" si="9"/>
        <v>-0.41914399999222951</v>
      </c>
    </row>
    <row r="39" spans="1:18" s="23" customFormat="1" ht="12.75" customHeight="1" x14ac:dyDescent="0.2">
      <c r="A39" s="36" t="s">
        <v>59</v>
      </c>
      <c r="B39" s="37" t="s">
        <v>53</v>
      </c>
      <c r="C39" s="36">
        <v>54507.450199999999</v>
      </c>
      <c r="E39" s="23">
        <f t="shared" si="0"/>
        <v>41337.05473380976</v>
      </c>
      <c r="F39" s="28">
        <f t="shared" si="8"/>
        <v>41338</v>
      </c>
      <c r="G39" s="23">
        <f t="shared" si="5"/>
        <v>-0.40951199999835808</v>
      </c>
      <c r="J39" s="23">
        <f>+G39</f>
        <v>-0.40951199999835808</v>
      </c>
      <c r="O39" s="23">
        <f t="shared" ca="1" si="2"/>
        <v>-0.41517643977679164</v>
      </c>
      <c r="P39" s="1">
        <f t="shared" ca="1" si="3"/>
        <v>-0.35014109990358222</v>
      </c>
      <c r="Q39" s="64">
        <f t="shared" si="4"/>
        <v>39488.950199999999</v>
      </c>
      <c r="R39" s="1">
        <f t="shared" si="9"/>
        <v>-0.40951199999835808</v>
      </c>
    </row>
    <row r="40" spans="1:18" s="23" customFormat="1" ht="12.75" customHeight="1" x14ac:dyDescent="0.2">
      <c r="A40" s="33" t="s">
        <v>60</v>
      </c>
      <c r="B40" s="34" t="s">
        <v>51</v>
      </c>
      <c r="C40" s="33">
        <v>54521.309300000001</v>
      </c>
      <c r="D40" s="33">
        <v>4.0000000000000002E-4</v>
      </c>
      <c r="E40" s="23">
        <f t="shared" si="0"/>
        <v>41369.045343748272</v>
      </c>
      <c r="F40" s="28">
        <f t="shared" si="8"/>
        <v>41370</v>
      </c>
      <c r="G40" s="23">
        <f t="shared" si="5"/>
        <v>-0.41358000000036554</v>
      </c>
      <c r="K40" s="23">
        <f>+G40</f>
        <v>-0.41358000000036554</v>
      </c>
      <c r="O40" s="23">
        <f t="shared" ca="1" si="2"/>
        <v>-0.4148471060592499</v>
      </c>
      <c r="P40" s="1">
        <f t="shared" ca="1" si="3"/>
        <v>-0.35097398238815958</v>
      </c>
      <c r="Q40" s="64">
        <f t="shared" si="4"/>
        <v>39502.809300000001</v>
      </c>
      <c r="R40" s="1">
        <f t="shared" si="9"/>
        <v>-0.41358000000036554</v>
      </c>
    </row>
    <row r="41" spans="1:18" s="23" customFormat="1" ht="12.75" customHeight="1" x14ac:dyDescent="0.2">
      <c r="A41" s="38" t="s">
        <v>61</v>
      </c>
      <c r="B41" s="30" t="s">
        <v>51</v>
      </c>
      <c r="C41" s="35">
        <v>54761.322339999999</v>
      </c>
      <c r="D41" s="35">
        <v>1E-3</v>
      </c>
      <c r="E41" s="23">
        <f t="shared" si="0"/>
        <v>41923.061372407807</v>
      </c>
      <c r="F41" s="28">
        <f t="shared" si="8"/>
        <v>41924</v>
      </c>
      <c r="G41" s="23">
        <f t="shared" si="5"/>
        <v>-0.40663599999970756</v>
      </c>
      <c r="K41" s="23">
        <f>+G41</f>
        <v>-0.40663599999970756</v>
      </c>
      <c r="O41" s="23">
        <f t="shared" ca="1" si="2"/>
        <v>-0.40914551607430938</v>
      </c>
      <c r="P41" s="1">
        <f t="shared" ca="1" si="3"/>
        <v>-0.36539326040240405</v>
      </c>
      <c r="Q41" s="64">
        <f t="shared" si="4"/>
        <v>39742.822339999999</v>
      </c>
      <c r="R41" s="1">
        <f t="shared" si="9"/>
        <v>-0.40663599999970756</v>
      </c>
    </row>
    <row r="42" spans="1:18" s="23" customFormat="1" ht="12.75" customHeight="1" x14ac:dyDescent="0.2">
      <c r="A42" s="33" t="s">
        <v>60</v>
      </c>
      <c r="B42" s="34" t="s">
        <v>51</v>
      </c>
      <c r="C42" s="33">
        <v>54817.638700000003</v>
      </c>
      <c r="D42" s="33">
        <v>5.9999999999999995E-4</v>
      </c>
      <c r="E42" s="23">
        <f t="shared" si="0"/>
        <v>42053.055001569635</v>
      </c>
      <c r="F42" s="28">
        <f t="shared" si="8"/>
        <v>42054</v>
      </c>
      <c r="G42" s="23">
        <f t="shared" si="5"/>
        <v>-0.40939599999546772</v>
      </c>
      <c r="K42" s="23">
        <f>+G42</f>
        <v>-0.40939599999546772</v>
      </c>
      <c r="O42" s="23">
        <f t="shared" ca="1" si="2"/>
        <v>-0.40780759784679627</v>
      </c>
      <c r="P42" s="1">
        <f t="shared" ca="1" si="3"/>
        <v>-0.36877684549599954</v>
      </c>
      <c r="Q42" s="64">
        <f t="shared" si="4"/>
        <v>39799.138700000003</v>
      </c>
      <c r="R42" s="1">
        <f t="shared" si="9"/>
        <v>-0.40939599999546772</v>
      </c>
    </row>
    <row r="43" spans="1:18" s="23" customFormat="1" ht="12.75" customHeight="1" x14ac:dyDescent="0.2">
      <c r="A43" s="35" t="s">
        <v>62</v>
      </c>
      <c r="B43" s="30" t="s">
        <v>53</v>
      </c>
      <c r="C43" s="35">
        <v>54830.647599999997</v>
      </c>
      <c r="D43" s="35">
        <v>1.8E-3</v>
      </c>
      <c r="E43" s="23">
        <f t="shared" si="0"/>
        <v>42083.083116355505</v>
      </c>
      <c r="F43" s="28">
        <f t="shared" si="8"/>
        <v>42084</v>
      </c>
      <c r="G43" s="23">
        <f t="shared" si="5"/>
        <v>-0.39721599999757018</v>
      </c>
      <c r="K43" s="23">
        <f>+G43</f>
        <v>-0.39721599999757018</v>
      </c>
      <c r="O43" s="23">
        <f t="shared" ca="1" si="2"/>
        <v>-0.40749884748660092</v>
      </c>
      <c r="P43" s="1">
        <f t="shared" ca="1" si="3"/>
        <v>-0.36955767282529062</v>
      </c>
      <c r="Q43" s="64">
        <f t="shared" si="4"/>
        <v>39812.147599999997</v>
      </c>
      <c r="R43" s="1">
        <f t="shared" si="9"/>
        <v>-0.39721599999757018</v>
      </c>
    </row>
    <row r="44" spans="1:18" s="23" customFormat="1" ht="12.75" customHeight="1" x14ac:dyDescent="0.2">
      <c r="A44" s="33" t="s">
        <v>60</v>
      </c>
      <c r="B44" s="34" t="s">
        <v>51</v>
      </c>
      <c r="C44" s="33">
        <v>54831.509700000002</v>
      </c>
      <c r="D44" s="33">
        <v>1E-3</v>
      </c>
      <c r="E44" s="23">
        <f t="shared" si="0"/>
        <v>42085.073079977112</v>
      </c>
      <c r="F44" s="28">
        <f t="shared" si="8"/>
        <v>42086</v>
      </c>
      <c r="G44" s="23">
        <f t="shared" si="5"/>
        <v>-0.40156399999250425</v>
      </c>
      <c r="K44" s="23">
        <f>+G44</f>
        <v>-0.40156399999250425</v>
      </c>
      <c r="O44" s="23">
        <f t="shared" ca="1" si="2"/>
        <v>-0.40747826412925459</v>
      </c>
      <c r="P44" s="1">
        <f t="shared" ca="1" si="3"/>
        <v>-0.36960972798057667</v>
      </c>
      <c r="Q44" s="64">
        <f t="shared" si="4"/>
        <v>39813.009700000002</v>
      </c>
      <c r="R44" s="1">
        <f t="shared" si="9"/>
        <v>-0.40156399999250425</v>
      </c>
    </row>
    <row r="45" spans="1:18" s="23" customFormat="1" ht="12.75" customHeight="1" x14ac:dyDescent="0.2">
      <c r="A45" s="33" t="s">
        <v>60</v>
      </c>
      <c r="B45" s="34" t="s">
        <v>53</v>
      </c>
      <c r="C45" s="33">
        <v>54842.332199999997</v>
      </c>
      <c r="D45" s="33">
        <v>1.1999999999999999E-3</v>
      </c>
      <c r="E45" s="23">
        <f t="shared" si="0"/>
        <v>42110.054382952003</v>
      </c>
      <c r="F45" s="28">
        <f t="shared" si="8"/>
        <v>42111</v>
      </c>
      <c r="G45" s="23">
        <f t="shared" si="5"/>
        <v>-0.40966399999888381</v>
      </c>
      <c r="K45" s="23">
        <f>+G45</f>
        <v>-0.40966399999888381</v>
      </c>
      <c r="O45" s="23">
        <f t="shared" ca="1" si="2"/>
        <v>-0.40722097216242514</v>
      </c>
      <c r="P45" s="1">
        <f t="shared" ca="1" si="3"/>
        <v>-0.37026041742165272</v>
      </c>
      <c r="Q45" s="64">
        <f t="shared" si="4"/>
        <v>39823.832199999997</v>
      </c>
      <c r="R45" s="1">
        <f t="shared" si="9"/>
        <v>-0.40966399999888381</v>
      </c>
    </row>
    <row r="46" spans="1:18" s="23" customFormat="1" ht="12.75" customHeight="1" x14ac:dyDescent="0.2">
      <c r="A46" s="33" t="s">
        <v>60</v>
      </c>
      <c r="B46" s="34" t="s">
        <v>51</v>
      </c>
      <c r="C46" s="33">
        <v>54845.367100000003</v>
      </c>
      <c r="D46" s="33">
        <v>4.0000000000000002E-4</v>
      </c>
      <c r="E46" s="23">
        <f t="shared" si="0"/>
        <v>42117.059765848622</v>
      </c>
      <c r="F46" s="28">
        <f t="shared" si="8"/>
        <v>42118</v>
      </c>
      <c r="G46" s="23">
        <f t="shared" si="5"/>
        <v>-0.40733199999522185</v>
      </c>
      <c r="K46" s="23">
        <f>+G46</f>
        <v>-0.40733199999522185</v>
      </c>
      <c r="O46" s="23">
        <f t="shared" ca="1" si="2"/>
        <v>-0.40714893041171285</v>
      </c>
      <c r="P46" s="1">
        <f t="shared" ca="1" si="3"/>
        <v>-0.37044261046515403</v>
      </c>
      <c r="Q46" s="64">
        <f t="shared" si="4"/>
        <v>39826.867100000003</v>
      </c>
      <c r="R46" s="1">
        <f t="shared" si="9"/>
        <v>-0.40733199999522185</v>
      </c>
    </row>
    <row r="47" spans="1:18" s="23" customFormat="1" ht="12.75" customHeight="1" x14ac:dyDescent="0.2">
      <c r="A47" s="36" t="s">
        <v>63</v>
      </c>
      <c r="B47" s="37" t="s">
        <v>53</v>
      </c>
      <c r="C47" s="36">
        <v>55048.549800000001</v>
      </c>
      <c r="E47" s="23">
        <f t="shared" si="0"/>
        <v>42586.061252377527</v>
      </c>
      <c r="F47" s="28">
        <f t="shared" si="8"/>
        <v>42587</v>
      </c>
      <c r="G47" s="23">
        <f t="shared" si="5"/>
        <v>-0.40668799999548355</v>
      </c>
      <c r="K47" s="23">
        <f>+G47</f>
        <v>-0.40668799999548355</v>
      </c>
      <c r="O47" s="23">
        <f t="shared" ca="1" si="2"/>
        <v>-0.40232213311399245</v>
      </c>
      <c r="P47" s="1">
        <f t="shared" ca="1" si="3"/>
        <v>-0.38264954437974008</v>
      </c>
      <c r="Q47" s="64">
        <f t="shared" si="4"/>
        <v>40030.049800000001</v>
      </c>
      <c r="R47" s="1">
        <f t="shared" si="9"/>
        <v>-0.40668799999548355</v>
      </c>
    </row>
    <row r="48" spans="1:18" s="23" customFormat="1" ht="12.75" customHeight="1" x14ac:dyDescent="0.2">
      <c r="A48" s="36" t="s">
        <v>63</v>
      </c>
      <c r="B48" s="37" t="s">
        <v>53</v>
      </c>
      <c r="C48" s="36">
        <v>55155.563600000001</v>
      </c>
      <c r="E48" s="23">
        <f t="shared" si="0"/>
        <v>42833.078499806114</v>
      </c>
      <c r="F48" s="28">
        <f t="shared" si="8"/>
        <v>42834</v>
      </c>
      <c r="G48" s="23">
        <f t="shared" si="5"/>
        <v>-0.39921599999797763</v>
      </c>
      <c r="K48" s="23">
        <f>+G48</f>
        <v>-0.39921599999797763</v>
      </c>
      <c r="O48" s="23">
        <f t="shared" ca="1" si="2"/>
        <v>-0.39978008848171753</v>
      </c>
      <c r="P48" s="1">
        <f t="shared" ca="1" si="3"/>
        <v>-0.38907835605757135</v>
      </c>
      <c r="Q48" s="64">
        <f t="shared" si="4"/>
        <v>40137.063600000001</v>
      </c>
      <c r="R48" s="1">
        <f t="shared" si="9"/>
        <v>-0.39921599999797763</v>
      </c>
    </row>
    <row r="49" spans="1:18" s="23" customFormat="1" ht="12.75" customHeight="1" x14ac:dyDescent="0.2">
      <c r="A49" s="38" t="s">
        <v>64</v>
      </c>
      <c r="B49" s="30" t="s">
        <v>53</v>
      </c>
      <c r="C49" s="35">
        <v>55559.77</v>
      </c>
      <c r="D49" s="35">
        <v>2E-3</v>
      </c>
      <c r="E49" s="23">
        <f t="shared" si="0"/>
        <v>43766.097907779804</v>
      </c>
      <c r="F49" s="28">
        <f t="shared" si="8"/>
        <v>43767</v>
      </c>
      <c r="G49" s="23">
        <f t="shared" si="5"/>
        <v>-0.39080800000374438</v>
      </c>
      <c r="K49" s="23">
        <f>+G49</f>
        <v>-0.39080800000374438</v>
      </c>
      <c r="O49" s="23">
        <f t="shared" ca="1" si="2"/>
        <v>-0.39017795227964258</v>
      </c>
      <c r="P49" s="1">
        <f t="shared" ca="1" si="3"/>
        <v>-0.41336208599852819</v>
      </c>
      <c r="Q49" s="64">
        <f t="shared" si="4"/>
        <v>40541.269999999997</v>
      </c>
      <c r="R49" s="1">
        <f t="shared" si="9"/>
        <v>-0.39080800000374438</v>
      </c>
    </row>
    <row r="50" spans="1:18" s="23" customFormat="1" ht="12.75" customHeight="1" x14ac:dyDescent="0.2">
      <c r="A50" s="36" t="s">
        <v>65</v>
      </c>
      <c r="B50" s="37" t="s">
        <v>53</v>
      </c>
      <c r="C50" s="36">
        <v>55794.576999999997</v>
      </c>
      <c r="E50" s="23">
        <f t="shared" si="0"/>
        <v>44308.09696600373</v>
      </c>
      <c r="F50" s="28">
        <f t="shared" si="8"/>
        <v>44309</v>
      </c>
      <c r="G50" s="23">
        <f t="shared" si="5"/>
        <v>-0.39121599999634782</v>
      </c>
      <c r="K50" s="23">
        <f>+G50</f>
        <v>-0.39121599999634782</v>
      </c>
      <c r="O50" s="23">
        <f t="shared" ca="1" si="2"/>
        <v>-0.38459986243878014</v>
      </c>
      <c r="P50" s="1">
        <f t="shared" ca="1" si="3"/>
        <v>-0.42746903308105633</v>
      </c>
      <c r="Q50" s="64">
        <f t="shared" si="4"/>
        <v>40776.076999999997</v>
      </c>
      <c r="R50" s="1">
        <f t="shared" si="9"/>
        <v>-0.39121599999634782</v>
      </c>
    </row>
    <row r="51" spans="1:18" s="23" customFormat="1" ht="12.75" customHeight="1" x14ac:dyDescent="0.2">
      <c r="A51" s="38" t="s">
        <v>66</v>
      </c>
      <c r="B51" s="30" t="s">
        <v>51</v>
      </c>
      <c r="C51" s="35">
        <v>55818.412900000003</v>
      </c>
      <c r="D51" s="35">
        <v>2.9999999999999997E-4</v>
      </c>
      <c r="E51" s="23">
        <f t="shared" si="0"/>
        <v>44363.116771000692</v>
      </c>
      <c r="F51" s="28">
        <f t="shared" si="8"/>
        <v>44364</v>
      </c>
      <c r="G51" s="23">
        <f t="shared" si="5"/>
        <v>-0.38263599999481812</v>
      </c>
      <c r="K51" s="23">
        <f>+G51</f>
        <v>-0.38263599999481812</v>
      </c>
      <c r="O51" s="23">
        <f t="shared" ca="1" si="2"/>
        <v>-0.38403382011175535</v>
      </c>
      <c r="P51" s="1">
        <f t="shared" ca="1" si="3"/>
        <v>-0.42890054985142367</v>
      </c>
      <c r="Q51" s="64">
        <f t="shared" si="4"/>
        <v>40799.912900000003</v>
      </c>
      <c r="R51" s="1">
        <f t="shared" si="9"/>
        <v>-0.38263599999481812</v>
      </c>
    </row>
    <row r="52" spans="1:18" s="23" customFormat="1" ht="12.75" customHeight="1" x14ac:dyDescent="0.2">
      <c r="A52" s="38" t="s">
        <v>67</v>
      </c>
      <c r="B52" s="30" t="s">
        <v>53</v>
      </c>
      <c r="C52" s="35">
        <v>55834.438000000002</v>
      </c>
      <c r="D52" s="35">
        <v>6.8999999999999999E-3</v>
      </c>
      <c r="E52" s="23">
        <f t="shared" si="0"/>
        <v>44400.107103946233</v>
      </c>
      <c r="F52" s="28">
        <f t="shared" si="8"/>
        <v>44401</v>
      </c>
      <c r="G52" s="23">
        <f t="shared" si="5"/>
        <v>-0.38682399999379413</v>
      </c>
      <c r="K52" s="23">
        <f>+G52</f>
        <v>-0.38682399999379413</v>
      </c>
      <c r="O52" s="23">
        <f t="shared" ca="1" si="2"/>
        <v>-0.38365302800084777</v>
      </c>
      <c r="P52" s="1">
        <f t="shared" ca="1" si="3"/>
        <v>-0.42986357022421606</v>
      </c>
      <c r="Q52" s="64">
        <f t="shared" si="4"/>
        <v>40815.938000000002</v>
      </c>
      <c r="R52" s="1">
        <f t="shared" si="9"/>
        <v>-0.38682399999379413</v>
      </c>
    </row>
    <row r="53" spans="1:18" s="23" customFormat="1" ht="12.75" customHeight="1" x14ac:dyDescent="0.2">
      <c r="A53" s="33" t="s">
        <v>68</v>
      </c>
      <c r="B53" s="34" t="s">
        <v>53</v>
      </c>
      <c r="C53" s="33">
        <v>55863.896800000002</v>
      </c>
      <c r="D53" s="33">
        <v>4.0000000000000002E-4</v>
      </c>
      <c r="E53" s="23">
        <f t="shared" si="0"/>
        <v>44468.106106771564</v>
      </c>
      <c r="F53" s="28">
        <f t="shared" si="8"/>
        <v>44469</v>
      </c>
      <c r="G53" s="23">
        <f t="shared" si="5"/>
        <v>-0.38725600000179838</v>
      </c>
      <c r="K53" s="23">
        <f>+G53</f>
        <v>-0.38725600000179838</v>
      </c>
      <c r="O53" s="23">
        <f t="shared" ca="1" si="2"/>
        <v>-0.38295319385107168</v>
      </c>
      <c r="P53" s="1">
        <f t="shared" ca="1" si="3"/>
        <v>-0.43163344550394289</v>
      </c>
      <c r="Q53" s="64">
        <f t="shared" si="4"/>
        <v>40845.396800000002</v>
      </c>
      <c r="R53" s="1">
        <f t="shared" si="9"/>
        <v>-0.38725600000179838</v>
      </c>
    </row>
    <row r="54" spans="1:18" s="23" customFormat="1" ht="12.75" customHeight="1" x14ac:dyDescent="0.2">
      <c r="A54" s="36" t="s">
        <v>65</v>
      </c>
      <c r="B54" s="37" t="s">
        <v>53</v>
      </c>
      <c r="C54" s="36">
        <v>55951.403700000003</v>
      </c>
      <c r="E54" s="23">
        <f t="shared" si="0"/>
        <v>44670.096070393156</v>
      </c>
      <c r="F54" s="28">
        <f t="shared" si="8"/>
        <v>44671</v>
      </c>
      <c r="G54" s="23">
        <f t="shared" si="5"/>
        <v>-0.39160399999673245</v>
      </c>
      <c r="K54" s="23">
        <f>+G54</f>
        <v>-0.39160399999673245</v>
      </c>
      <c r="O54" s="23">
        <f t="shared" ca="1" si="2"/>
        <v>-0.38087427475908975</v>
      </c>
      <c r="P54" s="1">
        <f t="shared" ca="1" si="3"/>
        <v>-0.4368910161878371</v>
      </c>
      <c r="Q54" s="64">
        <f t="shared" si="4"/>
        <v>40932.903700000003</v>
      </c>
      <c r="R54" s="1">
        <f t="shared" si="9"/>
        <v>-0.39160399999673245</v>
      </c>
    </row>
    <row r="55" spans="1:18" s="23" customFormat="1" ht="12.75" customHeight="1" x14ac:dyDescent="0.2">
      <c r="A55" s="38" t="s">
        <v>66</v>
      </c>
      <c r="B55" s="30" t="s">
        <v>51</v>
      </c>
      <c r="C55" s="35">
        <v>56007.303509999998</v>
      </c>
      <c r="D55" s="35">
        <v>8.0000000000000004E-4</v>
      </c>
      <c r="E55" s="23">
        <f t="shared" si="0"/>
        <v>44799.128187727365</v>
      </c>
      <c r="F55" s="28">
        <f t="shared" si="8"/>
        <v>44800</v>
      </c>
      <c r="G55" s="23">
        <f t="shared" si="5"/>
        <v>-0.37769000000116648</v>
      </c>
      <c r="K55" s="23">
        <f>+G55</f>
        <v>-0.37769000000116648</v>
      </c>
      <c r="O55" s="23">
        <f t="shared" ca="1" si="2"/>
        <v>-0.3795466482102498</v>
      </c>
      <c r="P55" s="1">
        <f t="shared" ca="1" si="3"/>
        <v>-0.44024857370378945</v>
      </c>
      <c r="Q55" s="64">
        <f t="shared" si="4"/>
        <v>40988.803509999998</v>
      </c>
      <c r="R55" s="1">
        <f t="shared" si="9"/>
        <v>-0.37769000000116648</v>
      </c>
    </row>
    <row r="56" spans="1:18" s="23" customFormat="1" ht="12.75" customHeight="1" x14ac:dyDescent="0.2">
      <c r="A56" s="38" t="s">
        <v>66</v>
      </c>
      <c r="B56" s="30" t="s">
        <v>51</v>
      </c>
      <c r="C56" s="35">
        <v>56007.304409999997</v>
      </c>
      <c r="D56" s="35">
        <v>8.0000000000000004E-4</v>
      </c>
      <c r="E56" s="23">
        <f t="shared" si="0"/>
        <v>44799.130265174594</v>
      </c>
      <c r="F56" s="28">
        <f t="shared" si="8"/>
        <v>44800</v>
      </c>
      <c r="G56" s="23">
        <f t="shared" si="5"/>
        <v>-0.37679000000207452</v>
      </c>
      <c r="K56" s="23">
        <f>+G56</f>
        <v>-0.37679000000207452</v>
      </c>
      <c r="O56" s="23">
        <f t="shared" ca="1" si="2"/>
        <v>-0.3795466482102498</v>
      </c>
      <c r="P56" s="1">
        <f t="shared" ca="1" si="3"/>
        <v>-0.44024857370378945</v>
      </c>
      <c r="Q56" s="64">
        <f t="shared" si="4"/>
        <v>40988.804409999997</v>
      </c>
      <c r="R56" s="1">
        <f t="shared" si="9"/>
        <v>-0.37679000000207452</v>
      </c>
    </row>
    <row r="57" spans="1:18" s="23" customFormat="1" ht="12.75" customHeight="1" x14ac:dyDescent="0.2">
      <c r="A57" s="38" t="s">
        <v>69</v>
      </c>
      <c r="B57" s="30" t="s">
        <v>53</v>
      </c>
      <c r="C57" s="35">
        <v>56233.879800000002</v>
      </c>
      <c r="D57" s="35">
        <v>3.0000000000000003E-4</v>
      </c>
      <c r="E57" s="23">
        <f t="shared" si="0"/>
        <v>45322.128506269284</v>
      </c>
      <c r="F57" s="28">
        <f t="shared" si="8"/>
        <v>45323</v>
      </c>
      <c r="G57" s="23">
        <f t="shared" si="5"/>
        <v>-0.37755199999810429</v>
      </c>
      <c r="K57" s="23">
        <f>+G57</f>
        <v>-0.37755199999810429</v>
      </c>
      <c r="O57" s="23">
        <f t="shared" ca="1" si="2"/>
        <v>-0.37416410026417779</v>
      </c>
      <c r="P57" s="1">
        <f t="shared" ca="1" si="3"/>
        <v>-0.4538609968110997</v>
      </c>
      <c r="Q57" s="64">
        <f t="shared" si="4"/>
        <v>41215.379800000002</v>
      </c>
      <c r="R57" s="1">
        <f t="shared" si="9"/>
        <v>-0.37755199999810429</v>
      </c>
    </row>
    <row r="58" spans="1:18" s="23" customFormat="1" ht="12.75" customHeight="1" x14ac:dyDescent="0.2">
      <c r="A58" s="36" t="s">
        <v>70</v>
      </c>
      <c r="B58" s="37" t="s">
        <v>53</v>
      </c>
      <c r="C58" s="36">
        <v>56239.0792</v>
      </c>
      <c r="E58" s="23">
        <f t="shared" si="0"/>
        <v>45334.130149760866</v>
      </c>
      <c r="F58" s="28">
        <f t="shared" si="8"/>
        <v>45335</v>
      </c>
      <c r="G58" s="23">
        <f t="shared" si="5"/>
        <v>-0.37683999999717344</v>
      </c>
      <c r="K58" s="23">
        <f>+G58</f>
        <v>-0.37683999999717344</v>
      </c>
      <c r="O58" s="23">
        <f t="shared" ca="1" si="2"/>
        <v>-0.37404060012009965</v>
      </c>
      <c r="P58" s="1">
        <f t="shared" ca="1" si="3"/>
        <v>-0.45417332774281627</v>
      </c>
      <c r="Q58" s="64">
        <f t="shared" si="4"/>
        <v>41220.5792</v>
      </c>
      <c r="R58" s="1">
        <f t="shared" si="9"/>
        <v>-0.37683999999717344</v>
      </c>
    </row>
    <row r="59" spans="1:18" s="23" customFormat="1" ht="12.75" customHeight="1" x14ac:dyDescent="0.2">
      <c r="A59" s="36" t="s">
        <v>70</v>
      </c>
      <c r="B59" s="37" t="s">
        <v>53</v>
      </c>
      <c r="C59" s="36">
        <v>56268.112099999998</v>
      </c>
      <c r="E59" s="23">
        <f t="shared" si="0"/>
        <v>45401.146058390113</v>
      </c>
      <c r="F59" s="28">
        <f t="shared" si="8"/>
        <v>45402</v>
      </c>
      <c r="G59" s="23">
        <f t="shared" si="5"/>
        <v>-0.3699479999995674</v>
      </c>
      <c r="K59" s="23">
        <f>+G59</f>
        <v>-0.3699479999995674</v>
      </c>
      <c r="O59" s="23">
        <f t="shared" ca="1" si="2"/>
        <v>-0.37335105764899673</v>
      </c>
      <c r="P59" s="1">
        <f t="shared" ca="1" si="3"/>
        <v>-0.45591717544489996</v>
      </c>
      <c r="Q59" s="64">
        <f t="shared" si="4"/>
        <v>41249.612099999998</v>
      </c>
      <c r="R59" s="1">
        <f t="shared" si="9"/>
        <v>-0.3699479999995674</v>
      </c>
    </row>
    <row r="60" spans="1:18" s="23" customFormat="1" ht="12.75" customHeight="1" x14ac:dyDescent="0.2">
      <c r="A60" s="32" t="s">
        <v>71</v>
      </c>
      <c r="B60" s="39" t="s">
        <v>72</v>
      </c>
      <c r="C60" s="40">
        <v>56293.241199999997</v>
      </c>
      <c r="D60" s="40">
        <v>1.1000000000000001E-3</v>
      </c>
      <c r="E60" s="23">
        <f t="shared" si="0"/>
        <v>45459.150924233189</v>
      </c>
      <c r="F60" s="28">
        <f t="shared" si="8"/>
        <v>45460</v>
      </c>
      <c r="G60" s="23">
        <f t="shared" si="5"/>
        <v>-0.36783999999897787</v>
      </c>
      <c r="K60" s="23">
        <f>+G60</f>
        <v>-0.36783999999897787</v>
      </c>
      <c r="O60" s="23">
        <f t="shared" ca="1" si="2"/>
        <v>-0.37275414028595244</v>
      </c>
      <c r="P60" s="1">
        <f t="shared" ca="1" si="3"/>
        <v>-0.45742677494819628</v>
      </c>
      <c r="Q60" s="64">
        <f t="shared" si="4"/>
        <v>41274.741199999997</v>
      </c>
      <c r="R60" s="1">
        <f t="shared" si="9"/>
        <v>-0.36783999999897787</v>
      </c>
    </row>
    <row r="61" spans="1:18" s="23" customFormat="1" ht="12.75" customHeight="1" x14ac:dyDescent="0.2">
      <c r="A61" s="41" t="s">
        <v>73</v>
      </c>
      <c r="B61" s="42"/>
      <c r="C61" s="41">
        <v>56521.556020000004</v>
      </c>
      <c r="D61" s="41">
        <v>2.5999999999999998E-4</v>
      </c>
      <c r="E61" s="23">
        <f t="shared" si="0"/>
        <v>45986.164247594788</v>
      </c>
      <c r="F61" s="28">
        <f t="shared" si="8"/>
        <v>45987</v>
      </c>
      <c r="G61" s="23">
        <f t="shared" si="5"/>
        <v>-0.36206799999490613</v>
      </c>
      <c r="K61" s="23">
        <f>+G61</f>
        <v>-0.36206799999490613</v>
      </c>
      <c r="O61" s="23">
        <f t="shared" ca="1" si="2"/>
        <v>-0.3673304256251877</v>
      </c>
      <c r="P61" s="1">
        <f t="shared" ca="1" si="3"/>
        <v>-0.47114330836607887</v>
      </c>
      <c r="Q61" s="64">
        <f t="shared" si="4"/>
        <v>41503.056020000004</v>
      </c>
      <c r="R61" s="1">
        <f t="shared" si="9"/>
        <v>-0.36206799999490613</v>
      </c>
    </row>
    <row r="62" spans="1:18" s="23" customFormat="1" ht="12.75" customHeight="1" x14ac:dyDescent="0.2">
      <c r="A62" s="38" t="s">
        <v>66</v>
      </c>
      <c r="B62" s="30" t="s">
        <v>53</v>
      </c>
      <c r="C62" s="35">
        <v>56521.56179</v>
      </c>
      <c r="D62" s="35">
        <v>2.9999999999999997E-4</v>
      </c>
      <c r="E62" s="23">
        <f t="shared" si="0"/>
        <v>45986.177566339815</v>
      </c>
      <c r="F62" s="28">
        <f t="shared" si="8"/>
        <v>45987</v>
      </c>
      <c r="G62" s="23">
        <f t="shared" si="5"/>
        <v>-0.35629799999878742</v>
      </c>
      <c r="K62" s="23">
        <f>+G62</f>
        <v>-0.35629799999878742</v>
      </c>
      <c r="O62" s="23">
        <f t="shared" ca="1" si="2"/>
        <v>-0.3673304256251877</v>
      </c>
      <c r="P62" s="1">
        <f t="shared" ca="1" si="3"/>
        <v>-0.47114330836607887</v>
      </c>
      <c r="Q62" s="64">
        <f t="shared" si="4"/>
        <v>41503.06179</v>
      </c>
      <c r="R62" s="1">
        <f t="shared" si="9"/>
        <v>-0.35629799999878742</v>
      </c>
    </row>
    <row r="63" spans="1:18" s="23" customFormat="1" ht="12.75" customHeight="1" x14ac:dyDescent="0.2">
      <c r="A63" s="36" t="s">
        <v>74</v>
      </c>
      <c r="B63" s="37" t="s">
        <v>53</v>
      </c>
      <c r="C63" s="36">
        <v>56556.206899999997</v>
      </c>
      <c r="E63" s="23">
        <f t="shared" si="0"/>
        <v>46066.147997340864</v>
      </c>
      <c r="F63" s="28">
        <f t="shared" si="8"/>
        <v>46067</v>
      </c>
      <c r="G63" s="23">
        <f t="shared" si="5"/>
        <v>-0.36910800000623567</v>
      </c>
      <c r="K63" s="23">
        <f>+G63</f>
        <v>-0.36910800000623567</v>
      </c>
      <c r="O63" s="23">
        <f t="shared" ca="1" si="2"/>
        <v>-0.36650709133133347</v>
      </c>
      <c r="P63" s="1">
        <f t="shared" ca="1" si="3"/>
        <v>-0.47322551457752204</v>
      </c>
      <c r="Q63" s="64">
        <f t="shared" si="4"/>
        <v>41537.706899999997</v>
      </c>
      <c r="R63" s="1">
        <f t="shared" si="9"/>
        <v>-0.36910800000623567</v>
      </c>
    </row>
    <row r="64" spans="1:18" s="23" customFormat="1" ht="12.75" customHeight="1" x14ac:dyDescent="0.2">
      <c r="A64" s="36" t="s">
        <v>74</v>
      </c>
      <c r="B64" s="37" t="s">
        <v>53</v>
      </c>
      <c r="C64" s="36">
        <v>56556.208599999998</v>
      </c>
      <c r="E64" s="23">
        <f t="shared" si="0"/>
        <v>46066.151921407858</v>
      </c>
      <c r="F64" s="28">
        <f t="shared" si="8"/>
        <v>46067</v>
      </c>
      <c r="G64" s="23">
        <f t="shared" si="5"/>
        <v>-0.36740800000552554</v>
      </c>
      <c r="K64" s="23">
        <f>+G64</f>
        <v>-0.36740800000552554</v>
      </c>
      <c r="O64" s="23">
        <f t="shared" ca="1" si="2"/>
        <v>-0.36650709133133347</v>
      </c>
      <c r="P64" s="1">
        <f t="shared" ca="1" si="3"/>
        <v>-0.47322551457752204</v>
      </c>
      <c r="Q64" s="64">
        <f t="shared" si="4"/>
        <v>41537.708599999998</v>
      </c>
      <c r="R64" s="1">
        <f t="shared" si="9"/>
        <v>-0.36740800000552554</v>
      </c>
    </row>
    <row r="65" spans="1:19" s="23" customFormat="1" ht="12.75" customHeight="1" x14ac:dyDescent="0.2">
      <c r="A65" s="32" t="s">
        <v>75</v>
      </c>
      <c r="B65" s="39" t="s">
        <v>53</v>
      </c>
      <c r="C65" s="35">
        <v>56567.472300000001</v>
      </c>
      <c r="D65" s="40">
        <v>1E-3</v>
      </c>
      <c r="E65" s="23">
        <f t="shared" si="0"/>
        <v>46092.151635181806</v>
      </c>
      <c r="F65" s="28">
        <f t="shared" si="8"/>
        <v>46093</v>
      </c>
      <c r="G65" s="23">
        <f t="shared" si="5"/>
        <v>-0.36753199999657227</v>
      </c>
      <c r="K65" s="23">
        <f>+G65</f>
        <v>-0.36753199999657227</v>
      </c>
      <c r="O65" s="23">
        <f t="shared" ca="1" si="2"/>
        <v>-0.3662395076858308</v>
      </c>
      <c r="P65" s="1">
        <f t="shared" ca="1" si="3"/>
        <v>-0.47390223159624101</v>
      </c>
      <c r="Q65" s="64">
        <f t="shared" si="4"/>
        <v>41548.972300000001</v>
      </c>
      <c r="R65" s="1">
        <f t="shared" si="9"/>
        <v>-0.36753199999657227</v>
      </c>
    </row>
    <row r="66" spans="1:19" s="23" customFormat="1" ht="12.75" customHeight="1" x14ac:dyDescent="0.2">
      <c r="A66" s="43" t="s">
        <v>76</v>
      </c>
      <c r="B66" s="42"/>
      <c r="C66" s="43">
        <v>56989.441500000001</v>
      </c>
      <c r="D66" s="43">
        <v>7.0000000000000001E-3</v>
      </c>
      <c r="E66" s="23">
        <f t="shared" si="0"/>
        <v>47066.172465052725</v>
      </c>
      <c r="F66" s="28">
        <f t="shared" si="8"/>
        <v>47067</v>
      </c>
      <c r="G66" s="23">
        <f t="shared" si="5"/>
        <v>-0.3585079999975278</v>
      </c>
      <c r="K66" s="23">
        <f>+G66</f>
        <v>-0.3585079999975278</v>
      </c>
      <c r="O66" s="23">
        <f t="shared" ca="1" si="2"/>
        <v>-0.35621541265815554</v>
      </c>
      <c r="P66" s="1">
        <f t="shared" ca="1" si="3"/>
        <v>-0.4992530922205628</v>
      </c>
      <c r="Q66" s="64">
        <f t="shared" si="4"/>
        <v>41970.941500000001</v>
      </c>
      <c r="R66" s="1">
        <f t="shared" si="9"/>
        <v>-0.3585079999975278</v>
      </c>
    </row>
    <row r="67" spans="1:19" s="23" customFormat="1" ht="12.75" customHeight="1" x14ac:dyDescent="0.2">
      <c r="A67" s="44" t="s">
        <v>77</v>
      </c>
      <c r="B67" s="45" t="s">
        <v>51</v>
      </c>
      <c r="C67" s="44">
        <v>57676.136599999998</v>
      </c>
      <c r="D67" s="44" t="s">
        <v>78</v>
      </c>
      <c r="E67" s="23">
        <f>+(C67-C$7)/C$8</f>
        <v>48651.25339316381</v>
      </c>
      <c r="F67" s="28">
        <f t="shared" si="8"/>
        <v>48652.5</v>
      </c>
      <c r="G67" s="23">
        <f>+C67-(C$7+F67*C$8)</f>
        <v>-0.54005999999935739</v>
      </c>
      <c r="K67" s="23">
        <f>+G67</f>
        <v>-0.54005999999935739</v>
      </c>
      <c r="O67" s="23">
        <f t="shared" ref="O67:P69" ca="1" si="10">+C$11+C$12*$F67</f>
        <v>-0.33989795612183205</v>
      </c>
      <c r="P67" s="1">
        <f t="shared" ca="1" si="10"/>
        <v>-0.54051981657360393</v>
      </c>
      <c r="Q67" s="64">
        <f>+C67-15018.5</f>
        <v>42657.636599999998</v>
      </c>
      <c r="S67" s="1">
        <f>G67</f>
        <v>-0.54005999999935739</v>
      </c>
    </row>
    <row r="68" spans="1:19" s="23" customFormat="1" ht="12.75" customHeight="1" x14ac:dyDescent="0.2">
      <c r="A68" s="44" t="s">
        <v>77</v>
      </c>
      <c r="B68" s="45" t="s">
        <v>51</v>
      </c>
      <c r="C68" s="44">
        <v>57682.201500000003</v>
      </c>
      <c r="D68" s="44" t="s">
        <v>78</v>
      </c>
      <c r="E68" s="23">
        <f>+(C68-C$7)/C$8</f>
        <v>48665.252848410993</v>
      </c>
      <c r="F68" s="28">
        <f t="shared" si="8"/>
        <v>48666.5</v>
      </c>
      <c r="G68" s="23">
        <f>+C68-(C$7+F68*C$8)</f>
        <v>-0.54029599999921629</v>
      </c>
      <c r="K68" s="23">
        <f>+G68</f>
        <v>-0.54029599999921629</v>
      </c>
      <c r="O68" s="23">
        <f t="shared" ca="1" si="10"/>
        <v>-0.33975387262040757</v>
      </c>
      <c r="P68" s="1">
        <f t="shared" ca="1" si="10"/>
        <v>-0.54088420266060655</v>
      </c>
      <c r="Q68" s="64">
        <f>+C68-15018.5</f>
        <v>42663.701500000003</v>
      </c>
      <c r="S68" s="1">
        <f>G68</f>
        <v>-0.54029599999921629</v>
      </c>
    </row>
    <row r="69" spans="1:19" s="23" customFormat="1" ht="12.75" customHeight="1" x14ac:dyDescent="0.2">
      <c r="A69" s="46" t="s">
        <v>79</v>
      </c>
      <c r="B69" s="47" t="s">
        <v>53</v>
      </c>
      <c r="C69" s="48">
        <v>57755.418140000198</v>
      </c>
      <c r="D69" s="48">
        <v>8.9999999999999998E-4</v>
      </c>
      <c r="E69" s="23">
        <f>+(C69-C$7)/C$8</f>
        <v>48834.256966373512</v>
      </c>
      <c r="F69" s="28">
        <f>ROUND(2*E69,0)/2+1</f>
        <v>48835.5</v>
      </c>
      <c r="G69" s="23">
        <f>+C69-(C$7+F69*C$8)</f>
        <v>-0.53851199980272213</v>
      </c>
      <c r="K69" s="23">
        <f>+G69</f>
        <v>-0.53851199980272213</v>
      </c>
      <c r="O69" s="23">
        <f t="shared" ca="1" si="10"/>
        <v>-0.33801457892464049</v>
      </c>
      <c r="P69" s="1">
        <f t="shared" ca="1" si="10"/>
        <v>-0.54528286328228048</v>
      </c>
      <c r="Q69" s="64">
        <f>+C69-15018.5</f>
        <v>42736.918140000198</v>
      </c>
      <c r="S69" s="1">
        <f>G69</f>
        <v>-0.53851199980272213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2" sqref="Q2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A35" sqref="A35"/>
    </sheetView>
  </sheetViews>
  <sheetFormatPr defaultRowHeight="12.75" x14ac:dyDescent="0.2"/>
  <cols>
    <col min="1" max="1" width="19.7109375" style="49" customWidth="1"/>
    <col min="2" max="2" width="4.42578125" customWidth="1"/>
    <col min="3" max="3" width="12.7109375" style="49" customWidth="1"/>
    <col min="4" max="4" width="5.42578125" customWidth="1"/>
    <col min="5" max="5" width="14.85546875" customWidth="1"/>
    <col min="7" max="7" width="12" customWidth="1"/>
    <col min="8" max="8" width="14.140625" style="4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0" t="s">
        <v>80</v>
      </c>
      <c r="I1" s="51" t="s">
        <v>81</v>
      </c>
      <c r="J1" s="52" t="s">
        <v>82</v>
      </c>
    </row>
    <row r="2" spans="1:16" x14ac:dyDescent="0.2">
      <c r="I2" s="53" t="s">
        <v>83</v>
      </c>
      <c r="J2" s="54" t="s">
        <v>84</v>
      </c>
    </row>
    <row r="3" spans="1:16" x14ac:dyDescent="0.2">
      <c r="A3" s="55" t="s">
        <v>85</v>
      </c>
      <c r="I3" s="53" t="s">
        <v>86</v>
      </c>
      <c r="J3" s="54" t="s">
        <v>87</v>
      </c>
    </row>
    <row r="4" spans="1:16" x14ac:dyDescent="0.2">
      <c r="I4" s="53" t="s">
        <v>88</v>
      </c>
      <c r="J4" s="54" t="s">
        <v>87</v>
      </c>
    </row>
    <row r="5" spans="1:16" x14ac:dyDescent="0.2">
      <c r="I5" s="56" t="s">
        <v>89</v>
      </c>
      <c r="J5" s="57" t="s">
        <v>90</v>
      </c>
    </row>
    <row r="11" spans="1:16" ht="12.75" customHeight="1" x14ac:dyDescent="0.2">
      <c r="A11" s="49" t="str">
        <f t="shared" ref="A11:A47" si="0">P11</f>
        <v>BAVM 172 </v>
      </c>
      <c r="B11" s="58" t="str">
        <f t="shared" ref="B11:B47" si="1">IF(H11=INT(H11),"I","II")</f>
        <v>I</v>
      </c>
      <c r="C11" s="49">
        <f t="shared" ref="C11:C47" si="2">1*G11</f>
        <v>52683.5317</v>
      </c>
      <c r="D11" t="str">
        <f t="shared" ref="D11:D47" si="3">VLOOKUP(F11,I$1:J$5,2,FALSE)</f>
        <v>vis</v>
      </c>
      <c r="E11">
        <f>VLOOKUP(C11,'Active 1'!C$21:E$972,3,FALSE)</f>
        <v>37126.949799641756</v>
      </c>
      <c r="F11" s="58" t="s">
        <v>89</v>
      </c>
      <c r="G11" t="str">
        <f t="shared" ref="G11:G47" si="4">MID(I11,3,LEN(I11)-3)</f>
        <v>52683.5317</v>
      </c>
      <c r="H11" s="49">
        <f t="shared" ref="H11:H47" si="5">1*K11</f>
        <v>37127</v>
      </c>
      <c r="I11" s="59" t="s">
        <v>91</v>
      </c>
      <c r="J11" s="60" t="s">
        <v>92</v>
      </c>
      <c r="K11" s="59">
        <v>37127</v>
      </c>
      <c r="L11" s="59" t="s">
        <v>93</v>
      </c>
      <c r="M11" s="60" t="s">
        <v>94</v>
      </c>
      <c r="N11" s="60" t="s">
        <v>95</v>
      </c>
      <c r="O11" s="61" t="s">
        <v>96</v>
      </c>
      <c r="P11" s="62" t="s">
        <v>97</v>
      </c>
    </row>
    <row r="12" spans="1:16" ht="12.75" customHeight="1" x14ac:dyDescent="0.2">
      <c r="A12" s="49" t="str">
        <f t="shared" si="0"/>
        <v>BAVM 172 </v>
      </c>
      <c r="B12" s="58" t="str">
        <f t="shared" si="1"/>
        <v>I</v>
      </c>
      <c r="C12" s="49">
        <f t="shared" si="2"/>
        <v>52694.351600000002</v>
      </c>
      <c r="D12" t="str">
        <f t="shared" si="3"/>
        <v>vis</v>
      </c>
      <c r="E12">
        <f>VLOOKUP(C12,'Active 1'!C$21:E$972,3,FALSE)</f>
        <v>37151.925101102439</v>
      </c>
      <c r="F12" s="58" t="s">
        <v>89</v>
      </c>
      <c r="G12" t="str">
        <f t="shared" si="4"/>
        <v>52694.3516</v>
      </c>
      <c r="H12" s="49">
        <f t="shared" si="5"/>
        <v>37152</v>
      </c>
      <c r="I12" s="59" t="s">
        <v>98</v>
      </c>
      <c r="J12" s="60" t="s">
        <v>99</v>
      </c>
      <c r="K12" s="59">
        <v>37152</v>
      </c>
      <c r="L12" s="59" t="s">
        <v>100</v>
      </c>
      <c r="M12" s="60" t="s">
        <v>94</v>
      </c>
      <c r="N12" s="60" t="s">
        <v>95</v>
      </c>
      <c r="O12" s="61" t="s">
        <v>96</v>
      </c>
      <c r="P12" s="62" t="s">
        <v>97</v>
      </c>
    </row>
    <row r="13" spans="1:16" ht="12.75" customHeight="1" x14ac:dyDescent="0.2">
      <c r="A13" s="49" t="str">
        <f t="shared" si="0"/>
        <v>BAVM 172 </v>
      </c>
      <c r="B13" s="58" t="str">
        <f t="shared" si="1"/>
        <v>I</v>
      </c>
      <c r="C13" s="49">
        <f t="shared" si="2"/>
        <v>52697.393600000003</v>
      </c>
      <c r="D13" t="str">
        <f t="shared" si="3"/>
        <v>vis</v>
      </c>
      <c r="E13">
        <f>VLOOKUP(C13,'Active 1'!C$21:E$972,3,FALSE)</f>
        <v>37158.946872749439</v>
      </c>
      <c r="F13" s="58" t="s">
        <v>89</v>
      </c>
      <c r="G13" t="str">
        <f t="shared" si="4"/>
        <v>52697.3936</v>
      </c>
      <c r="H13" s="49">
        <f t="shared" si="5"/>
        <v>37159</v>
      </c>
      <c r="I13" s="59" t="s">
        <v>101</v>
      </c>
      <c r="J13" s="60" t="s">
        <v>102</v>
      </c>
      <c r="K13" s="59">
        <v>37159</v>
      </c>
      <c r="L13" s="59" t="s">
        <v>103</v>
      </c>
      <c r="M13" s="60" t="s">
        <v>94</v>
      </c>
      <c r="N13" s="60" t="s">
        <v>95</v>
      </c>
      <c r="O13" s="61" t="s">
        <v>96</v>
      </c>
      <c r="P13" s="62" t="s">
        <v>97</v>
      </c>
    </row>
    <row r="14" spans="1:16" ht="12.75" customHeight="1" x14ac:dyDescent="0.2">
      <c r="A14" s="49" t="str">
        <f t="shared" si="0"/>
        <v>IBVS 5677 </v>
      </c>
      <c r="B14" s="58" t="str">
        <f t="shared" si="1"/>
        <v>I</v>
      </c>
      <c r="C14" s="49">
        <f t="shared" si="2"/>
        <v>53681.7019</v>
      </c>
      <c r="D14" t="str">
        <f t="shared" si="3"/>
        <v>vis</v>
      </c>
      <c r="E14">
        <f>VLOOKUP(C14,'Active 1'!C$21:E$972,3,FALSE)</f>
        <v>39431.000821745794</v>
      </c>
      <c r="F14" s="58" t="s">
        <v>89</v>
      </c>
      <c r="G14" t="str">
        <f t="shared" si="4"/>
        <v>53681.7019</v>
      </c>
      <c r="H14" s="49">
        <f t="shared" si="5"/>
        <v>39431</v>
      </c>
      <c r="I14" s="59" t="s">
        <v>104</v>
      </c>
      <c r="J14" s="60" t="s">
        <v>105</v>
      </c>
      <c r="K14" s="59">
        <v>39431</v>
      </c>
      <c r="L14" s="59" t="s">
        <v>106</v>
      </c>
      <c r="M14" s="60" t="s">
        <v>94</v>
      </c>
      <c r="N14" s="60" t="s">
        <v>107</v>
      </c>
      <c r="O14" s="61" t="s">
        <v>108</v>
      </c>
      <c r="P14" s="62" t="s">
        <v>109</v>
      </c>
    </row>
    <row r="15" spans="1:16" ht="12.75" customHeight="1" x14ac:dyDescent="0.2">
      <c r="A15" s="49" t="str">
        <f t="shared" si="0"/>
        <v>BAVM 178 </v>
      </c>
      <c r="B15" s="58" t="str">
        <f t="shared" si="1"/>
        <v>I</v>
      </c>
      <c r="C15" s="49">
        <f t="shared" si="2"/>
        <v>53765.31</v>
      </c>
      <c r="D15" t="str">
        <f t="shared" si="3"/>
        <v>vis</v>
      </c>
      <c r="E15">
        <f>VLOOKUP(C15,'Active 1'!C$21:E$972,3,FALSE)</f>
        <v>39623.991283954718</v>
      </c>
      <c r="F15" s="58" t="s">
        <v>89</v>
      </c>
      <c r="G15" t="str">
        <f t="shared" si="4"/>
        <v>53765.3100</v>
      </c>
      <c r="H15" s="49">
        <f t="shared" si="5"/>
        <v>39624</v>
      </c>
      <c r="I15" s="59" t="s">
        <v>110</v>
      </c>
      <c r="J15" s="60" t="s">
        <v>111</v>
      </c>
      <c r="K15" s="59">
        <v>39624</v>
      </c>
      <c r="L15" s="59" t="s">
        <v>112</v>
      </c>
      <c r="M15" s="60" t="s">
        <v>113</v>
      </c>
      <c r="N15" s="60" t="s">
        <v>114</v>
      </c>
      <c r="O15" s="61" t="s">
        <v>115</v>
      </c>
      <c r="P15" s="62" t="s">
        <v>116</v>
      </c>
    </row>
    <row r="16" spans="1:16" ht="12.75" customHeight="1" x14ac:dyDescent="0.2">
      <c r="A16" s="49" t="str">
        <f t="shared" si="0"/>
        <v>BAVM 183 </v>
      </c>
      <c r="B16" s="58" t="str">
        <f t="shared" si="1"/>
        <v>I</v>
      </c>
      <c r="C16" s="49">
        <f t="shared" si="2"/>
        <v>53791.304900000003</v>
      </c>
      <c r="D16" t="str">
        <f t="shared" si="3"/>
        <v>vis</v>
      </c>
      <c r="E16">
        <f>VLOOKUP(C16,'Active 1'!C$21:E$972,3,FALSE)</f>
        <v>39683.9946540358</v>
      </c>
      <c r="F16" s="58" t="s">
        <v>89</v>
      </c>
      <c r="G16" t="str">
        <f t="shared" si="4"/>
        <v>53791.3049</v>
      </c>
      <c r="H16" s="49">
        <f t="shared" si="5"/>
        <v>39684</v>
      </c>
      <c r="I16" s="59" t="s">
        <v>117</v>
      </c>
      <c r="J16" s="60" t="s">
        <v>118</v>
      </c>
      <c r="K16" s="59" t="s">
        <v>119</v>
      </c>
      <c r="L16" s="59" t="s">
        <v>120</v>
      </c>
      <c r="M16" s="60" t="s">
        <v>113</v>
      </c>
      <c r="N16" s="60" t="s">
        <v>95</v>
      </c>
      <c r="O16" s="61" t="s">
        <v>96</v>
      </c>
      <c r="P16" s="62" t="s">
        <v>121</v>
      </c>
    </row>
    <row r="17" spans="1:16" ht="12.75" customHeight="1" x14ac:dyDescent="0.2">
      <c r="A17" s="49" t="str">
        <f t="shared" si="0"/>
        <v>BAVM 201 </v>
      </c>
      <c r="B17" s="58" t="str">
        <f t="shared" si="1"/>
        <v>I</v>
      </c>
      <c r="C17" s="49">
        <f t="shared" si="2"/>
        <v>54033.4905</v>
      </c>
      <c r="D17" t="str">
        <f t="shared" si="3"/>
        <v>vis</v>
      </c>
      <c r="E17">
        <f>VLOOKUP(C17,'Active 1'!C$21:E$972,3,FALSE)</f>
        <v>40243.025547984413</v>
      </c>
      <c r="F17" s="58" t="s">
        <v>89</v>
      </c>
      <c r="G17" t="str">
        <f t="shared" si="4"/>
        <v>54033.4905</v>
      </c>
      <c r="H17" s="49">
        <f t="shared" si="5"/>
        <v>40243</v>
      </c>
      <c r="I17" s="59" t="s">
        <v>122</v>
      </c>
      <c r="J17" s="60" t="s">
        <v>123</v>
      </c>
      <c r="K17" s="59" t="s">
        <v>124</v>
      </c>
      <c r="L17" s="59" t="s">
        <v>125</v>
      </c>
      <c r="M17" s="60" t="s">
        <v>113</v>
      </c>
      <c r="N17" s="60" t="s">
        <v>114</v>
      </c>
      <c r="O17" s="61" t="s">
        <v>126</v>
      </c>
      <c r="P17" s="62" t="s">
        <v>127</v>
      </c>
    </row>
    <row r="18" spans="1:16" ht="12.75" customHeight="1" x14ac:dyDescent="0.2">
      <c r="A18" s="49" t="str">
        <f t="shared" si="0"/>
        <v>BAVM 209 </v>
      </c>
      <c r="B18" s="58" t="str">
        <f t="shared" si="1"/>
        <v>I</v>
      </c>
      <c r="C18" s="49">
        <f t="shared" si="2"/>
        <v>54521.309300000001</v>
      </c>
      <c r="D18" t="str">
        <f t="shared" si="3"/>
        <v>vis</v>
      </c>
      <c r="E18">
        <f>VLOOKUP(C18,'Active 1'!C$21:E$972,3,FALSE)</f>
        <v>41369.045343748272</v>
      </c>
      <c r="F18" s="58" t="s">
        <v>89</v>
      </c>
      <c r="G18" t="str">
        <f t="shared" si="4"/>
        <v>54521.3093</v>
      </c>
      <c r="H18" s="49">
        <f t="shared" si="5"/>
        <v>41369</v>
      </c>
      <c r="I18" s="59" t="s">
        <v>128</v>
      </c>
      <c r="J18" s="60" t="s">
        <v>129</v>
      </c>
      <c r="K18" s="59" t="s">
        <v>130</v>
      </c>
      <c r="L18" s="59" t="s">
        <v>131</v>
      </c>
      <c r="M18" s="60" t="s">
        <v>113</v>
      </c>
      <c r="N18" s="60" t="s">
        <v>114</v>
      </c>
      <c r="O18" s="61" t="s">
        <v>132</v>
      </c>
      <c r="P18" s="62" t="s">
        <v>133</v>
      </c>
    </row>
    <row r="19" spans="1:16" ht="12.75" customHeight="1" x14ac:dyDescent="0.2">
      <c r="A19" s="49" t="str">
        <f t="shared" si="0"/>
        <v>BAVM 209 </v>
      </c>
      <c r="B19" s="58" t="str">
        <f t="shared" si="1"/>
        <v>I</v>
      </c>
      <c r="C19" s="49">
        <f t="shared" si="2"/>
        <v>54817.638700000003</v>
      </c>
      <c r="D19" t="str">
        <f t="shared" si="3"/>
        <v>vis</v>
      </c>
      <c r="E19">
        <f>VLOOKUP(C19,'Active 1'!C$21:E$972,3,FALSE)</f>
        <v>42053.055001569635</v>
      </c>
      <c r="F19" s="58" t="s">
        <v>89</v>
      </c>
      <c r="G19" t="str">
        <f t="shared" si="4"/>
        <v>54817.6387</v>
      </c>
      <c r="H19" s="49">
        <f t="shared" si="5"/>
        <v>42053</v>
      </c>
      <c r="I19" s="59" t="s">
        <v>134</v>
      </c>
      <c r="J19" s="60" t="s">
        <v>135</v>
      </c>
      <c r="K19" s="59" t="s">
        <v>136</v>
      </c>
      <c r="L19" s="59" t="s">
        <v>137</v>
      </c>
      <c r="M19" s="60" t="s">
        <v>113</v>
      </c>
      <c r="N19" s="60" t="s">
        <v>114</v>
      </c>
      <c r="O19" s="61" t="s">
        <v>126</v>
      </c>
      <c r="P19" s="62" t="s">
        <v>133</v>
      </c>
    </row>
    <row r="20" spans="1:16" ht="12.75" customHeight="1" x14ac:dyDescent="0.2">
      <c r="A20" s="49" t="str">
        <f t="shared" si="0"/>
        <v>IBVS 5871 </v>
      </c>
      <c r="B20" s="58" t="str">
        <f t="shared" si="1"/>
        <v>I</v>
      </c>
      <c r="C20" s="49">
        <f t="shared" si="2"/>
        <v>54830.647599999997</v>
      </c>
      <c r="D20" t="str">
        <f t="shared" si="3"/>
        <v>vis</v>
      </c>
      <c r="E20">
        <f>VLOOKUP(C20,'Active 1'!C$21:E$972,3,FALSE)</f>
        <v>42083.083116355505</v>
      </c>
      <c r="F20" s="58" t="s">
        <v>89</v>
      </c>
      <c r="G20" t="str">
        <f t="shared" si="4"/>
        <v>54830.6476</v>
      </c>
      <c r="H20" s="49">
        <f t="shared" si="5"/>
        <v>42083</v>
      </c>
      <c r="I20" s="59" t="s">
        <v>138</v>
      </c>
      <c r="J20" s="60" t="s">
        <v>139</v>
      </c>
      <c r="K20" s="59" t="s">
        <v>140</v>
      </c>
      <c r="L20" s="59" t="s">
        <v>141</v>
      </c>
      <c r="M20" s="60" t="s">
        <v>113</v>
      </c>
      <c r="N20" s="60" t="s">
        <v>89</v>
      </c>
      <c r="O20" s="61" t="s">
        <v>142</v>
      </c>
      <c r="P20" s="62" t="s">
        <v>143</v>
      </c>
    </row>
    <row r="21" spans="1:16" ht="12.75" customHeight="1" x14ac:dyDescent="0.2">
      <c r="A21" s="49" t="str">
        <f t="shared" si="0"/>
        <v>BAVM 209 </v>
      </c>
      <c r="B21" s="58" t="str">
        <f t="shared" si="1"/>
        <v>I</v>
      </c>
      <c r="C21" s="49">
        <f t="shared" si="2"/>
        <v>54831.509700000002</v>
      </c>
      <c r="D21" t="str">
        <f t="shared" si="3"/>
        <v>vis</v>
      </c>
      <c r="E21">
        <f>VLOOKUP(C21,'Active 1'!C$21:E$972,3,FALSE)</f>
        <v>42085.073079977112</v>
      </c>
      <c r="F21" s="58" t="s">
        <v>89</v>
      </c>
      <c r="G21" t="str">
        <f t="shared" si="4"/>
        <v>54831.5097</v>
      </c>
      <c r="H21" s="49">
        <f t="shared" si="5"/>
        <v>42085</v>
      </c>
      <c r="I21" s="59" t="s">
        <v>144</v>
      </c>
      <c r="J21" s="60" t="s">
        <v>145</v>
      </c>
      <c r="K21" s="59" t="s">
        <v>146</v>
      </c>
      <c r="L21" s="59" t="s">
        <v>147</v>
      </c>
      <c r="M21" s="60" t="s">
        <v>113</v>
      </c>
      <c r="N21" s="60" t="s">
        <v>114</v>
      </c>
      <c r="O21" s="61" t="s">
        <v>126</v>
      </c>
      <c r="P21" s="62" t="s">
        <v>133</v>
      </c>
    </row>
    <row r="22" spans="1:16" ht="12.75" customHeight="1" x14ac:dyDescent="0.2">
      <c r="A22" s="49" t="str">
        <f t="shared" si="0"/>
        <v>BAVM 209 </v>
      </c>
      <c r="B22" s="58" t="str">
        <f t="shared" si="1"/>
        <v>I</v>
      </c>
      <c r="C22" s="49">
        <f t="shared" si="2"/>
        <v>54842.332199999997</v>
      </c>
      <c r="D22" t="str">
        <f t="shared" si="3"/>
        <v>vis</v>
      </c>
      <c r="E22">
        <f>VLOOKUP(C22,'Active 1'!C$21:E$972,3,FALSE)</f>
        <v>42110.054382952003</v>
      </c>
      <c r="F22" s="58" t="s">
        <v>89</v>
      </c>
      <c r="G22" t="str">
        <f t="shared" si="4"/>
        <v>54842.3322</v>
      </c>
      <c r="H22" s="49">
        <f t="shared" si="5"/>
        <v>42110</v>
      </c>
      <c r="I22" s="59" t="s">
        <v>148</v>
      </c>
      <c r="J22" s="60" t="s">
        <v>149</v>
      </c>
      <c r="K22" s="59" t="s">
        <v>150</v>
      </c>
      <c r="L22" s="59" t="s">
        <v>151</v>
      </c>
      <c r="M22" s="60" t="s">
        <v>113</v>
      </c>
      <c r="N22" s="60" t="s">
        <v>114</v>
      </c>
      <c r="O22" s="61" t="s">
        <v>126</v>
      </c>
      <c r="P22" s="62" t="s">
        <v>133</v>
      </c>
    </row>
    <row r="23" spans="1:16" ht="12.75" customHeight="1" x14ac:dyDescent="0.2">
      <c r="A23" s="49" t="str">
        <f t="shared" si="0"/>
        <v>BAVM 209 </v>
      </c>
      <c r="B23" s="58" t="str">
        <f t="shared" si="1"/>
        <v>I</v>
      </c>
      <c r="C23" s="49">
        <f t="shared" si="2"/>
        <v>54845.367100000003</v>
      </c>
      <c r="D23" t="str">
        <f t="shared" si="3"/>
        <v>vis</v>
      </c>
      <c r="E23">
        <f>VLOOKUP(C23,'Active 1'!C$21:E$972,3,FALSE)</f>
        <v>42117.059765848622</v>
      </c>
      <c r="F23" s="58" t="s">
        <v>89</v>
      </c>
      <c r="G23" t="str">
        <f t="shared" si="4"/>
        <v>54845.3671</v>
      </c>
      <c r="H23" s="49">
        <f t="shared" si="5"/>
        <v>42117</v>
      </c>
      <c r="I23" s="59" t="s">
        <v>152</v>
      </c>
      <c r="J23" s="60" t="s">
        <v>153</v>
      </c>
      <c r="K23" s="59" t="s">
        <v>154</v>
      </c>
      <c r="L23" s="59" t="s">
        <v>155</v>
      </c>
      <c r="M23" s="60" t="s">
        <v>113</v>
      </c>
      <c r="N23" s="60" t="s">
        <v>114</v>
      </c>
      <c r="O23" s="61" t="s">
        <v>115</v>
      </c>
      <c r="P23" s="62" t="s">
        <v>133</v>
      </c>
    </row>
    <row r="24" spans="1:16" ht="12.75" customHeight="1" x14ac:dyDescent="0.2">
      <c r="A24" s="49" t="str">
        <f t="shared" si="0"/>
        <v>IBVS 5960 </v>
      </c>
      <c r="B24" s="58" t="str">
        <f t="shared" si="1"/>
        <v>I</v>
      </c>
      <c r="C24" s="49">
        <f t="shared" si="2"/>
        <v>55559.77</v>
      </c>
      <c r="D24" t="str">
        <f t="shared" si="3"/>
        <v>vis</v>
      </c>
      <c r="E24">
        <f>VLOOKUP(C24,'Active 1'!C$21:E$972,3,FALSE)</f>
        <v>43766.097907779804</v>
      </c>
      <c r="F24" s="58" t="s">
        <v>89</v>
      </c>
      <c r="G24" t="str">
        <f t="shared" si="4"/>
        <v>55559.770</v>
      </c>
      <c r="H24" s="49">
        <f t="shared" si="5"/>
        <v>43766</v>
      </c>
      <c r="I24" s="59" t="s">
        <v>156</v>
      </c>
      <c r="J24" s="60" t="s">
        <v>157</v>
      </c>
      <c r="K24" s="59" t="s">
        <v>158</v>
      </c>
      <c r="L24" s="59" t="s">
        <v>159</v>
      </c>
      <c r="M24" s="60" t="s">
        <v>113</v>
      </c>
      <c r="N24" s="60" t="s">
        <v>89</v>
      </c>
      <c r="O24" s="61" t="s">
        <v>142</v>
      </c>
      <c r="P24" s="62" t="s">
        <v>160</v>
      </c>
    </row>
    <row r="25" spans="1:16" ht="12.75" customHeight="1" x14ac:dyDescent="0.2">
      <c r="A25" s="49" t="str">
        <f t="shared" si="0"/>
        <v>OEJV 0160 </v>
      </c>
      <c r="B25" s="58" t="str">
        <f t="shared" si="1"/>
        <v>I</v>
      </c>
      <c r="C25" s="49">
        <f t="shared" si="2"/>
        <v>55818.412900000003</v>
      </c>
      <c r="D25" t="str">
        <f t="shared" si="3"/>
        <v>vis</v>
      </c>
      <c r="E25">
        <f>VLOOKUP(C25,'Active 1'!C$21:E$972,3,FALSE)</f>
        <v>44363.116771000692</v>
      </c>
      <c r="F25" s="58" t="s">
        <v>89</v>
      </c>
      <c r="G25" t="str">
        <f t="shared" si="4"/>
        <v>55818.4129</v>
      </c>
      <c r="H25" s="49">
        <f t="shared" si="5"/>
        <v>44363</v>
      </c>
      <c r="I25" s="59" t="s">
        <v>161</v>
      </c>
      <c r="J25" s="60" t="s">
        <v>162</v>
      </c>
      <c r="K25" s="59" t="s">
        <v>163</v>
      </c>
      <c r="L25" s="59" t="s">
        <v>164</v>
      </c>
      <c r="M25" s="60" t="s">
        <v>113</v>
      </c>
      <c r="N25" s="60" t="s">
        <v>165</v>
      </c>
      <c r="O25" s="61" t="s">
        <v>166</v>
      </c>
      <c r="P25" s="62" t="s">
        <v>167</v>
      </c>
    </row>
    <row r="26" spans="1:16" ht="12.75" customHeight="1" x14ac:dyDescent="0.2">
      <c r="A26" s="49" t="str">
        <f t="shared" si="0"/>
        <v>BAVM 228 </v>
      </c>
      <c r="B26" s="58" t="str">
        <f t="shared" si="1"/>
        <v>I</v>
      </c>
      <c r="C26" s="49">
        <f t="shared" si="2"/>
        <v>55834.438000000002</v>
      </c>
      <c r="D26" t="str">
        <f t="shared" si="3"/>
        <v>vis</v>
      </c>
      <c r="E26">
        <f>VLOOKUP(C26,'Active 1'!C$21:E$972,3,FALSE)</f>
        <v>44400.107103946233</v>
      </c>
      <c r="F26" s="58" t="s">
        <v>89</v>
      </c>
      <c r="G26" t="str">
        <f t="shared" si="4"/>
        <v>55834.4380</v>
      </c>
      <c r="H26" s="49">
        <f t="shared" si="5"/>
        <v>44400</v>
      </c>
      <c r="I26" s="59" t="s">
        <v>168</v>
      </c>
      <c r="J26" s="60" t="s">
        <v>169</v>
      </c>
      <c r="K26" s="59" t="s">
        <v>170</v>
      </c>
      <c r="L26" s="59" t="s">
        <v>171</v>
      </c>
      <c r="M26" s="60" t="s">
        <v>113</v>
      </c>
      <c r="N26" s="60" t="s">
        <v>89</v>
      </c>
      <c r="O26" s="61" t="s">
        <v>172</v>
      </c>
      <c r="P26" s="62" t="s">
        <v>173</v>
      </c>
    </row>
    <row r="27" spans="1:16" ht="12.75" customHeight="1" x14ac:dyDescent="0.2">
      <c r="A27" s="49" t="str">
        <f t="shared" si="0"/>
        <v>IBVS 6011 </v>
      </c>
      <c r="B27" s="58" t="str">
        <f t="shared" si="1"/>
        <v>I</v>
      </c>
      <c r="C27" s="49">
        <f t="shared" si="2"/>
        <v>55863.896800000002</v>
      </c>
      <c r="D27" t="str">
        <f t="shared" si="3"/>
        <v>vis</v>
      </c>
      <c r="E27">
        <f>VLOOKUP(C27,'Active 1'!C$21:E$972,3,FALSE)</f>
        <v>44468.106106771564</v>
      </c>
      <c r="F27" s="58" t="s">
        <v>89</v>
      </c>
      <c r="G27" t="str">
        <f t="shared" si="4"/>
        <v>55863.8968</v>
      </c>
      <c r="H27" s="49">
        <f t="shared" si="5"/>
        <v>44468</v>
      </c>
      <c r="I27" s="59" t="s">
        <v>174</v>
      </c>
      <c r="J27" s="60" t="s">
        <v>175</v>
      </c>
      <c r="K27" s="59" t="s">
        <v>176</v>
      </c>
      <c r="L27" s="59" t="s">
        <v>177</v>
      </c>
      <c r="M27" s="60" t="s">
        <v>113</v>
      </c>
      <c r="N27" s="60" t="s">
        <v>89</v>
      </c>
      <c r="O27" s="61" t="s">
        <v>142</v>
      </c>
      <c r="P27" s="62" t="s">
        <v>178</v>
      </c>
    </row>
    <row r="28" spans="1:16" ht="12.75" customHeight="1" x14ac:dyDescent="0.2">
      <c r="A28" s="49" t="str">
        <f t="shared" si="0"/>
        <v>OEJV 0160 </v>
      </c>
      <c r="B28" s="58" t="str">
        <f t="shared" si="1"/>
        <v>I</v>
      </c>
      <c r="C28" s="49">
        <f t="shared" si="2"/>
        <v>56007.303509999998</v>
      </c>
      <c r="D28" t="str">
        <f t="shared" si="3"/>
        <v>vis</v>
      </c>
      <c r="E28">
        <f>VLOOKUP(C28,'Active 1'!C$21:E$972,3,FALSE)</f>
        <v>44799.128187727365</v>
      </c>
      <c r="F28" s="58" t="s">
        <v>89</v>
      </c>
      <c r="G28" t="str">
        <f t="shared" si="4"/>
        <v>56007.30351</v>
      </c>
      <c r="H28" s="49">
        <f t="shared" si="5"/>
        <v>44799</v>
      </c>
      <c r="I28" s="59" t="s">
        <v>179</v>
      </c>
      <c r="J28" s="60" t="s">
        <v>180</v>
      </c>
      <c r="K28" s="59" t="s">
        <v>181</v>
      </c>
      <c r="L28" s="59" t="s">
        <v>182</v>
      </c>
      <c r="M28" s="60" t="s">
        <v>113</v>
      </c>
      <c r="N28" s="60" t="s">
        <v>165</v>
      </c>
      <c r="O28" s="61" t="s">
        <v>183</v>
      </c>
      <c r="P28" s="62" t="s">
        <v>167</v>
      </c>
    </row>
    <row r="29" spans="1:16" ht="12.75" customHeight="1" x14ac:dyDescent="0.2">
      <c r="A29" s="49" t="str">
        <f t="shared" si="0"/>
        <v>OEJV 0160 </v>
      </c>
      <c r="B29" s="58" t="str">
        <f t="shared" si="1"/>
        <v>I</v>
      </c>
      <c r="C29" s="49">
        <f t="shared" si="2"/>
        <v>56007.304409999997</v>
      </c>
      <c r="D29" t="str">
        <f t="shared" si="3"/>
        <v>vis</v>
      </c>
      <c r="E29">
        <f>VLOOKUP(C29,'Active 1'!C$21:E$972,3,FALSE)</f>
        <v>44799.130265174594</v>
      </c>
      <c r="F29" s="58" t="s">
        <v>89</v>
      </c>
      <c r="G29" t="str">
        <f t="shared" si="4"/>
        <v>56007.30441</v>
      </c>
      <c r="H29" s="49">
        <f t="shared" si="5"/>
        <v>44799</v>
      </c>
      <c r="I29" s="59" t="s">
        <v>184</v>
      </c>
      <c r="J29" s="60" t="s">
        <v>185</v>
      </c>
      <c r="K29" s="59" t="s">
        <v>181</v>
      </c>
      <c r="L29" s="59" t="s">
        <v>186</v>
      </c>
      <c r="M29" s="60" t="s">
        <v>113</v>
      </c>
      <c r="N29" s="60" t="s">
        <v>89</v>
      </c>
      <c r="O29" s="61" t="s">
        <v>183</v>
      </c>
      <c r="P29" s="62" t="s">
        <v>167</v>
      </c>
    </row>
    <row r="30" spans="1:16" ht="12.75" customHeight="1" x14ac:dyDescent="0.2">
      <c r="A30" s="49" t="str">
        <f t="shared" si="0"/>
        <v>IBVS 6042 </v>
      </c>
      <c r="B30" s="58" t="str">
        <f t="shared" si="1"/>
        <v>I</v>
      </c>
      <c r="C30" s="49">
        <f t="shared" si="2"/>
        <v>56233.879800000002</v>
      </c>
      <c r="D30" t="str">
        <f t="shared" si="3"/>
        <v>vis</v>
      </c>
      <c r="E30">
        <f>VLOOKUP(C30,'Active 1'!C$21:E$972,3,FALSE)</f>
        <v>45322.128506269284</v>
      </c>
      <c r="F30" s="58" t="s">
        <v>89</v>
      </c>
      <c r="G30" t="str">
        <f t="shared" si="4"/>
        <v>56233.8798</v>
      </c>
      <c r="H30" s="49">
        <f t="shared" si="5"/>
        <v>45322</v>
      </c>
      <c r="I30" s="59" t="s">
        <v>187</v>
      </c>
      <c r="J30" s="60" t="s">
        <v>188</v>
      </c>
      <c r="K30" s="59" t="s">
        <v>189</v>
      </c>
      <c r="L30" s="59" t="s">
        <v>190</v>
      </c>
      <c r="M30" s="60" t="s">
        <v>113</v>
      </c>
      <c r="N30" s="60" t="s">
        <v>89</v>
      </c>
      <c r="O30" s="61" t="s">
        <v>142</v>
      </c>
      <c r="P30" s="62" t="s">
        <v>191</v>
      </c>
    </row>
    <row r="31" spans="1:16" ht="12.75" customHeight="1" x14ac:dyDescent="0.2">
      <c r="A31" s="49" t="str">
        <f t="shared" si="0"/>
        <v>IBVS 6094 </v>
      </c>
      <c r="B31" s="58" t="str">
        <f t="shared" si="1"/>
        <v>I</v>
      </c>
      <c r="C31" s="49">
        <f t="shared" si="2"/>
        <v>56293.241199999997</v>
      </c>
      <c r="D31" t="str">
        <f t="shared" si="3"/>
        <v>vis</v>
      </c>
      <c r="E31">
        <f>VLOOKUP(C31,'Active 1'!C$21:E$972,3,FALSE)</f>
        <v>45459.150924233189</v>
      </c>
      <c r="F31" s="58" t="s">
        <v>89</v>
      </c>
      <c r="G31" t="str">
        <f t="shared" si="4"/>
        <v>56293.2412</v>
      </c>
      <c r="H31" s="49">
        <f t="shared" si="5"/>
        <v>45459</v>
      </c>
      <c r="I31" s="59" t="s">
        <v>192</v>
      </c>
      <c r="J31" s="60" t="s">
        <v>193</v>
      </c>
      <c r="K31" s="59" t="s">
        <v>194</v>
      </c>
      <c r="L31" s="59" t="s">
        <v>195</v>
      </c>
      <c r="M31" s="60" t="s">
        <v>113</v>
      </c>
      <c r="N31" s="60" t="s">
        <v>81</v>
      </c>
      <c r="O31" s="61" t="s">
        <v>196</v>
      </c>
      <c r="P31" s="62" t="s">
        <v>197</v>
      </c>
    </row>
    <row r="32" spans="1:16" ht="12.75" customHeight="1" x14ac:dyDescent="0.2">
      <c r="A32" s="49" t="str">
        <f t="shared" si="0"/>
        <v>OEJV 0160 </v>
      </c>
      <c r="B32" s="58" t="str">
        <f t="shared" si="1"/>
        <v>I</v>
      </c>
      <c r="C32" s="49">
        <f t="shared" si="2"/>
        <v>56521.56179</v>
      </c>
      <c r="D32" t="str">
        <f t="shared" si="3"/>
        <v>vis</v>
      </c>
      <c r="E32">
        <f>VLOOKUP(C32,'Active 1'!C$21:E$972,3,FALSE)</f>
        <v>45986.177566339815</v>
      </c>
      <c r="F32" s="58" t="s">
        <v>89</v>
      </c>
      <c r="G32" t="str">
        <f t="shared" si="4"/>
        <v>56521.56179</v>
      </c>
      <c r="H32" s="49">
        <f t="shared" si="5"/>
        <v>45986</v>
      </c>
      <c r="I32" s="59" t="s">
        <v>198</v>
      </c>
      <c r="J32" s="60" t="s">
        <v>199</v>
      </c>
      <c r="K32" s="59" t="s">
        <v>200</v>
      </c>
      <c r="L32" s="59" t="s">
        <v>201</v>
      </c>
      <c r="M32" s="60" t="s">
        <v>113</v>
      </c>
      <c r="N32" s="60" t="s">
        <v>165</v>
      </c>
      <c r="O32" s="61" t="s">
        <v>166</v>
      </c>
      <c r="P32" s="62" t="s">
        <v>167</v>
      </c>
    </row>
    <row r="33" spans="1:16" ht="12.75" customHeight="1" x14ac:dyDescent="0.2">
      <c r="A33" s="49" t="str">
        <f t="shared" si="0"/>
        <v>BAVM 234 </v>
      </c>
      <c r="B33" s="58" t="str">
        <f t="shared" si="1"/>
        <v>I</v>
      </c>
      <c r="C33" s="49">
        <f t="shared" si="2"/>
        <v>56567.472300000001</v>
      </c>
      <c r="D33" t="str">
        <f t="shared" si="3"/>
        <v>vis</v>
      </c>
      <c r="E33">
        <f>VLOOKUP(C33,'Active 1'!C$21:E$972,3,FALSE)</f>
        <v>46092.151635181806</v>
      </c>
      <c r="F33" s="58" t="s">
        <v>89</v>
      </c>
      <c r="G33" t="str">
        <f t="shared" si="4"/>
        <v>56567.4723</v>
      </c>
      <c r="H33" s="49">
        <f t="shared" si="5"/>
        <v>46092</v>
      </c>
      <c r="I33" s="59" t="s">
        <v>202</v>
      </c>
      <c r="J33" s="60" t="s">
        <v>203</v>
      </c>
      <c r="K33" s="59" t="s">
        <v>204</v>
      </c>
      <c r="L33" s="59" t="s">
        <v>205</v>
      </c>
      <c r="M33" s="60" t="s">
        <v>113</v>
      </c>
      <c r="N33" s="60" t="s">
        <v>89</v>
      </c>
      <c r="O33" s="61" t="s">
        <v>206</v>
      </c>
      <c r="P33" s="62" t="s">
        <v>207</v>
      </c>
    </row>
    <row r="34" spans="1:16" ht="12.75" customHeight="1" x14ac:dyDescent="0.2">
      <c r="A34" s="49" t="str">
        <f t="shared" si="0"/>
        <v>BAVM 239 </v>
      </c>
      <c r="B34" s="58" t="str">
        <f t="shared" si="1"/>
        <v>I</v>
      </c>
      <c r="C34" s="49">
        <f t="shared" si="2"/>
        <v>56989.441500000001</v>
      </c>
      <c r="D34" t="str">
        <f t="shared" si="3"/>
        <v>vis</v>
      </c>
      <c r="E34">
        <f>VLOOKUP(C34,'Active 1'!C$21:E$972,3,FALSE)</f>
        <v>47066.172465052725</v>
      </c>
      <c r="F34" s="58" t="s">
        <v>89</v>
      </c>
      <c r="G34" t="str">
        <f t="shared" si="4"/>
        <v>56989.4415</v>
      </c>
      <c r="H34" s="49">
        <f t="shared" si="5"/>
        <v>47066</v>
      </c>
      <c r="I34" s="59" t="s">
        <v>208</v>
      </c>
      <c r="J34" s="60" t="s">
        <v>209</v>
      </c>
      <c r="K34" s="59" t="s">
        <v>210</v>
      </c>
      <c r="L34" s="59" t="s">
        <v>211</v>
      </c>
      <c r="M34" s="60" t="s">
        <v>113</v>
      </c>
      <c r="N34" s="60" t="s">
        <v>89</v>
      </c>
      <c r="O34" s="61" t="s">
        <v>212</v>
      </c>
      <c r="P34" s="62" t="s">
        <v>213</v>
      </c>
    </row>
    <row r="35" spans="1:16" ht="12.75" customHeight="1" x14ac:dyDescent="0.2">
      <c r="A35" s="49" t="str">
        <f t="shared" si="0"/>
        <v>BAVM 193 </v>
      </c>
      <c r="B35" s="58" t="str">
        <f t="shared" si="1"/>
        <v>I</v>
      </c>
      <c r="C35" s="49">
        <f t="shared" si="2"/>
        <v>54462.387999999999</v>
      </c>
      <c r="D35" t="str">
        <f t="shared" si="3"/>
        <v>vis</v>
      </c>
      <c r="E35">
        <f>VLOOKUP(C35,'Active 1'!C$21:E$972,3,FALSE)</f>
        <v>41233.038797481211</v>
      </c>
      <c r="F35" s="58" t="s">
        <v>89</v>
      </c>
      <c r="G35" t="str">
        <f t="shared" si="4"/>
        <v>54462.388</v>
      </c>
      <c r="H35" s="49">
        <f t="shared" si="5"/>
        <v>41233</v>
      </c>
      <c r="I35" s="59" t="s">
        <v>214</v>
      </c>
      <c r="J35" s="60" t="s">
        <v>215</v>
      </c>
      <c r="K35" s="59" t="s">
        <v>216</v>
      </c>
      <c r="L35" s="59" t="s">
        <v>217</v>
      </c>
      <c r="M35" s="60" t="s">
        <v>113</v>
      </c>
      <c r="N35" s="60" t="s">
        <v>114</v>
      </c>
      <c r="O35" s="61" t="s">
        <v>115</v>
      </c>
      <c r="P35" s="62" t="s">
        <v>57</v>
      </c>
    </row>
    <row r="36" spans="1:16" ht="12.75" customHeight="1" x14ac:dyDescent="0.2">
      <c r="A36" s="49" t="str">
        <f t="shared" si="0"/>
        <v>VSB 48 </v>
      </c>
      <c r="B36" s="58" t="str">
        <f t="shared" si="1"/>
        <v>I</v>
      </c>
      <c r="C36" s="49">
        <f t="shared" si="2"/>
        <v>54468.016100000001</v>
      </c>
      <c r="D36" t="str">
        <f t="shared" si="3"/>
        <v>vis</v>
      </c>
      <c r="E36">
        <f>VLOOKUP(C36,'Active 1'!C$21:E$972,3,FALSE)</f>
        <v>41246.029998338046</v>
      </c>
      <c r="F36" s="58" t="s">
        <v>89</v>
      </c>
      <c r="G36" t="str">
        <f t="shared" si="4"/>
        <v>54468.0161</v>
      </c>
      <c r="H36" s="49">
        <f t="shared" si="5"/>
        <v>41246</v>
      </c>
      <c r="I36" s="59" t="s">
        <v>218</v>
      </c>
      <c r="J36" s="60" t="s">
        <v>219</v>
      </c>
      <c r="K36" s="59" t="s">
        <v>220</v>
      </c>
      <c r="L36" s="59" t="s">
        <v>221</v>
      </c>
      <c r="M36" s="60" t="s">
        <v>113</v>
      </c>
      <c r="N36" s="60" t="s">
        <v>89</v>
      </c>
      <c r="O36" s="61" t="s">
        <v>222</v>
      </c>
      <c r="P36" s="62" t="s">
        <v>58</v>
      </c>
    </row>
    <row r="37" spans="1:16" ht="12.75" customHeight="1" x14ac:dyDescent="0.2">
      <c r="A37" s="49" t="str">
        <f t="shared" si="0"/>
        <v>BAVM 203 </v>
      </c>
      <c r="B37" s="58" t="str">
        <f t="shared" si="1"/>
        <v>I</v>
      </c>
      <c r="C37" s="49">
        <f t="shared" si="2"/>
        <v>54504.408000000003</v>
      </c>
      <c r="D37" t="str">
        <f t="shared" si="3"/>
        <v>vis</v>
      </c>
      <c r="E37">
        <f>VLOOKUP(C37,'Active 1'!C$21:E$972,3,FALSE)</f>
        <v>41330.032500507827</v>
      </c>
      <c r="F37" s="58" t="s">
        <v>89</v>
      </c>
      <c r="G37" t="str">
        <f t="shared" si="4"/>
        <v>54504.4080</v>
      </c>
      <c r="H37" s="49">
        <f t="shared" si="5"/>
        <v>41330</v>
      </c>
      <c r="I37" s="59" t="s">
        <v>223</v>
      </c>
      <c r="J37" s="60" t="s">
        <v>224</v>
      </c>
      <c r="K37" s="59" t="s">
        <v>225</v>
      </c>
      <c r="L37" s="59" t="s">
        <v>226</v>
      </c>
      <c r="M37" s="60" t="s">
        <v>113</v>
      </c>
      <c r="N37" s="60" t="s">
        <v>89</v>
      </c>
      <c r="O37" s="61" t="s">
        <v>206</v>
      </c>
      <c r="P37" s="62" t="s">
        <v>59</v>
      </c>
    </row>
    <row r="38" spans="1:16" ht="12.75" customHeight="1" x14ac:dyDescent="0.2">
      <c r="A38" s="49" t="str">
        <f t="shared" si="0"/>
        <v>BAVM 203 </v>
      </c>
      <c r="B38" s="58" t="str">
        <f t="shared" si="1"/>
        <v>I</v>
      </c>
      <c r="C38" s="49">
        <f t="shared" si="2"/>
        <v>54507.450199999999</v>
      </c>
      <c r="D38" t="str">
        <f t="shared" si="3"/>
        <v>vis</v>
      </c>
      <c r="E38">
        <f>VLOOKUP(C38,'Active 1'!C$21:E$972,3,FALSE)</f>
        <v>41337.05473380976</v>
      </c>
      <c r="F38" s="58" t="s">
        <v>89</v>
      </c>
      <c r="G38" t="str">
        <f t="shared" si="4"/>
        <v>54507.4502</v>
      </c>
      <c r="H38" s="49">
        <f t="shared" si="5"/>
        <v>41337</v>
      </c>
      <c r="I38" s="59" t="s">
        <v>227</v>
      </c>
      <c r="J38" s="60" t="s">
        <v>228</v>
      </c>
      <c r="K38" s="59" t="s">
        <v>229</v>
      </c>
      <c r="L38" s="59" t="s">
        <v>230</v>
      </c>
      <c r="M38" s="60" t="s">
        <v>113</v>
      </c>
      <c r="N38" s="60" t="s">
        <v>95</v>
      </c>
      <c r="O38" s="61" t="s">
        <v>96</v>
      </c>
      <c r="P38" s="62" t="s">
        <v>59</v>
      </c>
    </row>
    <row r="39" spans="1:16" ht="12.75" customHeight="1" x14ac:dyDescent="0.2">
      <c r="A39" s="49" t="str">
        <f t="shared" si="0"/>
        <v>OEJV 0107 </v>
      </c>
      <c r="B39" s="58" t="str">
        <f t="shared" si="1"/>
        <v>I</v>
      </c>
      <c r="C39" s="49">
        <f t="shared" si="2"/>
        <v>54761.3223</v>
      </c>
      <c r="D39" t="str">
        <f t="shared" si="3"/>
        <v>vis</v>
      </c>
      <c r="E39" t="e">
        <f>VLOOKUP(C39,'Active 1'!C$21:E$972,3,FALSE)</f>
        <v>#N/A</v>
      </c>
      <c r="F39" s="58" t="s">
        <v>89</v>
      </c>
      <c r="G39" t="str">
        <f t="shared" si="4"/>
        <v>54761.3223</v>
      </c>
      <c r="H39" s="49">
        <f t="shared" si="5"/>
        <v>41923</v>
      </c>
      <c r="I39" s="59" t="s">
        <v>231</v>
      </c>
      <c r="J39" s="60" t="s">
        <v>232</v>
      </c>
      <c r="K39" s="59" t="s">
        <v>233</v>
      </c>
      <c r="L39" s="59" t="s">
        <v>234</v>
      </c>
      <c r="M39" s="60" t="s">
        <v>113</v>
      </c>
      <c r="N39" s="60" t="s">
        <v>81</v>
      </c>
      <c r="O39" s="61" t="s">
        <v>235</v>
      </c>
      <c r="P39" s="62" t="s">
        <v>236</v>
      </c>
    </row>
    <row r="40" spans="1:16" ht="12.75" customHeight="1" x14ac:dyDescent="0.2">
      <c r="A40" s="49" t="str">
        <f t="shared" si="0"/>
        <v>BAVM 212 </v>
      </c>
      <c r="B40" s="58" t="str">
        <f t="shared" si="1"/>
        <v>I</v>
      </c>
      <c r="C40" s="49">
        <f t="shared" si="2"/>
        <v>55048.549800000001</v>
      </c>
      <c r="D40" t="str">
        <f t="shared" si="3"/>
        <v>vis</v>
      </c>
      <c r="E40">
        <f>VLOOKUP(C40,'Active 1'!C$21:E$972,3,FALSE)</f>
        <v>42586.061252377527</v>
      </c>
      <c r="F40" s="58" t="s">
        <v>89</v>
      </c>
      <c r="G40" t="str">
        <f t="shared" si="4"/>
        <v>55048.5498</v>
      </c>
      <c r="H40" s="49">
        <f t="shared" si="5"/>
        <v>42586</v>
      </c>
      <c r="I40" s="59" t="s">
        <v>237</v>
      </c>
      <c r="J40" s="60" t="s">
        <v>238</v>
      </c>
      <c r="K40" s="59" t="s">
        <v>239</v>
      </c>
      <c r="L40" s="59" t="s">
        <v>234</v>
      </c>
      <c r="M40" s="60" t="s">
        <v>113</v>
      </c>
      <c r="N40" s="60" t="s">
        <v>95</v>
      </c>
      <c r="O40" s="61" t="s">
        <v>240</v>
      </c>
      <c r="P40" s="62" t="s">
        <v>63</v>
      </c>
    </row>
    <row r="41" spans="1:16" ht="12.75" customHeight="1" x14ac:dyDescent="0.2">
      <c r="A41" s="49" t="str">
        <f t="shared" si="0"/>
        <v>BAVM 212 </v>
      </c>
      <c r="B41" s="58" t="str">
        <f t="shared" si="1"/>
        <v>I</v>
      </c>
      <c r="C41" s="49">
        <f t="shared" si="2"/>
        <v>55155.563600000001</v>
      </c>
      <c r="D41" t="str">
        <f t="shared" si="3"/>
        <v>vis</v>
      </c>
      <c r="E41">
        <f>VLOOKUP(C41,'Active 1'!C$21:E$972,3,FALSE)</f>
        <v>42833.078499806114</v>
      </c>
      <c r="F41" s="58" t="s">
        <v>89</v>
      </c>
      <c r="G41" t="str">
        <f t="shared" si="4"/>
        <v>55155.5636</v>
      </c>
      <c r="H41" s="49">
        <f t="shared" si="5"/>
        <v>42833</v>
      </c>
      <c r="I41" s="59" t="s">
        <v>241</v>
      </c>
      <c r="J41" s="60" t="s">
        <v>242</v>
      </c>
      <c r="K41" s="59" t="s">
        <v>243</v>
      </c>
      <c r="L41" s="59" t="s">
        <v>244</v>
      </c>
      <c r="M41" s="60" t="s">
        <v>113</v>
      </c>
      <c r="N41" s="60" t="s">
        <v>114</v>
      </c>
      <c r="O41" s="61" t="s">
        <v>126</v>
      </c>
      <c r="P41" s="62" t="s">
        <v>63</v>
      </c>
    </row>
    <row r="42" spans="1:16" ht="12.75" customHeight="1" x14ac:dyDescent="0.2">
      <c r="A42" s="49" t="str">
        <f t="shared" si="0"/>
        <v>BAVM 225 </v>
      </c>
      <c r="B42" s="58" t="str">
        <f t="shared" si="1"/>
        <v>I</v>
      </c>
      <c r="C42" s="49">
        <f t="shared" si="2"/>
        <v>55794.576999999997</v>
      </c>
      <c r="D42" t="str">
        <f t="shared" si="3"/>
        <v>vis</v>
      </c>
      <c r="E42">
        <f>VLOOKUP(C42,'Active 1'!C$21:E$972,3,FALSE)</f>
        <v>44308.09696600373</v>
      </c>
      <c r="F42" s="58" t="s">
        <v>89</v>
      </c>
      <c r="G42" t="str">
        <f t="shared" si="4"/>
        <v>55794.5770</v>
      </c>
      <c r="H42" s="49">
        <f t="shared" si="5"/>
        <v>44308</v>
      </c>
      <c r="I42" s="59" t="s">
        <v>245</v>
      </c>
      <c r="J42" s="60" t="s">
        <v>246</v>
      </c>
      <c r="K42" s="59" t="s">
        <v>247</v>
      </c>
      <c r="L42" s="59" t="s">
        <v>248</v>
      </c>
      <c r="M42" s="60" t="s">
        <v>113</v>
      </c>
      <c r="N42" s="60" t="s">
        <v>95</v>
      </c>
      <c r="O42" s="61" t="s">
        <v>249</v>
      </c>
      <c r="P42" s="62" t="s">
        <v>65</v>
      </c>
    </row>
    <row r="43" spans="1:16" ht="12.75" customHeight="1" x14ac:dyDescent="0.2">
      <c r="A43" s="49" t="str">
        <f t="shared" si="0"/>
        <v>BAVM 225 </v>
      </c>
      <c r="B43" s="58" t="str">
        <f t="shared" si="1"/>
        <v>I</v>
      </c>
      <c r="C43" s="49">
        <f t="shared" si="2"/>
        <v>55951.403700000003</v>
      </c>
      <c r="D43" t="str">
        <f t="shared" si="3"/>
        <v>vis</v>
      </c>
      <c r="E43">
        <f>VLOOKUP(C43,'Active 1'!C$21:E$972,3,FALSE)</f>
        <v>44670.096070393156</v>
      </c>
      <c r="F43" s="58" t="s">
        <v>89</v>
      </c>
      <c r="G43" t="str">
        <f t="shared" si="4"/>
        <v>55951.4037</v>
      </c>
      <c r="H43" s="49">
        <f t="shared" si="5"/>
        <v>44670</v>
      </c>
      <c r="I43" s="59" t="s">
        <v>250</v>
      </c>
      <c r="J43" s="60" t="s">
        <v>251</v>
      </c>
      <c r="K43" s="59" t="s">
        <v>252</v>
      </c>
      <c r="L43" s="59" t="s">
        <v>253</v>
      </c>
      <c r="M43" s="60" t="s">
        <v>113</v>
      </c>
      <c r="N43" s="60" t="s">
        <v>89</v>
      </c>
      <c r="O43" s="61" t="s">
        <v>172</v>
      </c>
      <c r="P43" s="62" t="s">
        <v>65</v>
      </c>
    </row>
    <row r="44" spans="1:16" ht="12.75" customHeight="1" x14ac:dyDescent="0.2">
      <c r="A44" s="49" t="str">
        <f t="shared" si="0"/>
        <v>VSB 55 </v>
      </c>
      <c r="B44" s="58" t="str">
        <f t="shared" si="1"/>
        <v>I</v>
      </c>
      <c r="C44" s="49">
        <f t="shared" si="2"/>
        <v>56239.0792</v>
      </c>
      <c r="D44" t="str">
        <f t="shared" si="3"/>
        <v>vis</v>
      </c>
      <c r="E44">
        <f>VLOOKUP(C44,'Active 1'!C$21:E$972,3,FALSE)</f>
        <v>45334.130149760866</v>
      </c>
      <c r="F44" s="58" t="s">
        <v>89</v>
      </c>
      <c r="G44" t="str">
        <f t="shared" si="4"/>
        <v>56239.0792</v>
      </c>
      <c r="H44" s="49">
        <f t="shared" si="5"/>
        <v>45334</v>
      </c>
      <c r="I44" s="59" t="s">
        <v>254</v>
      </c>
      <c r="J44" s="60" t="s">
        <v>255</v>
      </c>
      <c r="K44" s="59" t="s">
        <v>256</v>
      </c>
      <c r="L44" s="59" t="s">
        <v>257</v>
      </c>
      <c r="M44" s="60" t="s">
        <v>113</v>
      </c>
      <c r="N44" s="60" t="s">
        <v>89</v>
      </c>
      <c r="O44" s="61" t="s">
        <v>222</v>
      </c>
      <c r="P44" s="62" t="s">
        <v>70</v>
      </c>
    </row>
    <row r="45" spans="1:16" ht="12.75" customHeight="1" x14ac:dyDescent="0.2">
      <c r="A45" s="49" t="str">
        <f t="shared" si="0"/>
        <v>VSB 55 </v>
      </c>
      <c r="B45" s="58" t="str">
        <f t="shared" si="1"/>
        <v>I</v>
      </c>
      <c r="C45" s="49">
        <f t="shared" si="2"/>
        <v>56268.112099999998</v>
      </c>
      <c r="D45" t="str">
        <f t="shared" si="3"/>
        <v>vis</v>
      </c>
      <c r="E45">
        <f>VLOOKUP(C45,'Active 1'!C$21:E$972,3,FALSE)</f>
        <v>45401.146058390113</v>
      </c>
      <c r="F45" s="58" t="s">
        <v>89</v>
      </c>
      <c r="G45" t="str">
        <f t="shared" si="4"/>
        <v>56268.1121</v>
      </c>
      <c r="H45" s="49">
        <f t="shared" si="5"/>
        <v>45401</v>
      </c>
      <c r="I45" s="59" t="s">
        <v>258</v>
      </c>
      <c r="J45" s="60" t="s">
        <v>259</v>
      </c>
      <c r="K45" s="59" t="s">
        <v>260</v>
      </c>
      <c r="L45" s="59" t="s">
        <v>261</v>
      </c>
      <c r="M45" s="60" t="s">
        <v>113</v>
      </c>
      <c r="N45" s="60" t="s">
        <v>89</v>
      </c>
      <c r="O45" s="61" t="s">
        <v>222</v>
      </c>
      <c r="P45" s="62" t="s">
        <v>70</v>
      </c>
    </row>
    <row r="46" spans="1:16" ht="12.75" customHeight="1" x14ac:dyDescent="0.2">
      <c r="A46" s="49" t="str">
        <f t="shared" si="0"/>
        <v>VSB 56 </v>
      </c>
      <c r="B46" s="58" t="str">
        <f t="shared" si="1"/>
        <v>I</v>
      </c>
      <c r="C46" s="49">
        <f t="shared" si="2"/>
        <v>56556.206899999997</v>
      </c>
      <c r="D46" t="str">
        <f t="shared" si="3"/>
        <v>vis</v>
      </c>
      <c r="E46">
        <f>VLOOKUP(C46,'Active 1'!C$21:E$972,3,FALSE)</f>
        <v>46066.147997340864</v>
      </c>
      <c r="F46" s="58" t="s">
        <v>89</v>
      </c>
      <c r="G46" t="str">
        <f t="shared" si="4"/>
        <v>56556.2069</v>
      </c>
      <c r="H46" s="49">
        <f t="shared" si="5"/>
        <v>46066</v>
      </c>
      <c r="I46" s="59" t="s">
        <v>262</v>
      </c>
      <c r="J46" s="60" t="s">
        <v>263</v>
      </c>
      <c r="K46" s="59" t="s">
        <v>264</v>
      </c>
      <c r="L46" s="59" t="s">
        <v>265</v>
      </c>
      <c r="M46" s="60" t="s">
        <v>113</v>
      </c>
      <c r="N46" s="60" t="s">
        <v>89</v>
      </c>
      <c r="O46" s="61" t="s">
        <v>222</v>
      </c>
      <c r="P46" s="62" t="s">
        <v>74</v>
      </c>
    </row>
    <row r="47" spans="1:16" ht="12.75" customHeight="1" x14ac:dyDescent="0.2">
      <c r="A47" s="49" t="str">
        <f t="shared" si="0"/>
        <v>VSB 56 </v>
      </c>
      <c r="B47" s="58" t="str">
        <f t="shared" si="1"/>
        <v>I</v>
      </c>
      <c r="C47" s="49">
        <f t="shared" si="2"/>
        <v>56556.208599999998</v>
      </c>
      <c r="D47" t="str">
        <f t="shared" si="3"/>
        <v>vis</v>
      </c>
      <c r="E47">
        <f>VLOOKUP(C47,'Active 1'!C$21:E$972,3,FALSE)</f>
        <v>46066.151921407858</v>
      </c>
      <c r="F47" s="58" t="s">
        <v>89</v>
      </c>
      <c r="G47" t="str">
        <f t="shared" si="4"/>
        <v>56556.2086</v>
      </c>
      <c r="H47" s="49">
        <f t="shared" si="5"/>
        <v>46066</v>
      </c>
      <c r="I47" s="59" t="s">
        <v>266</v>
      </c>
      <c r="J47" s="60" t="s">
        <v>267</v>
      </c>
      <c r="K47" s="59" t="s">
        <v>264</v>
      </c>
      <c r="L47" s="59" t="s">
        <v>268</v>
      </c>
      <c r="M47" s="60" t="s">
        <v>113</v>
      </c>
      <c r="N47" s="60" t="s">
        <v>78</v>
      </c>
      <c r="O47" s="61" t="s">
        <v>269</v>
      </c>
      <c r="P47" s="62" t="s">
        <v>74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4" r:id="rId14"/>
    <hyperlink ref="P25" r:id="rId15"/>
    <hyperlink ref="P26" r:id="rId16"/>
    <hyperlink ref="P27" r:id="rId17"/>
    <hyperlink ref="P28" r:id="rId18"/>
    <hyperlink ref="P29" r:id="rId19"/>
    <hyperlink ref="P30" r:id="rId20"/>
    <hyperlink ref="P31" r:id="rId21"/>
    <hyperlink ref="P32" r:id="rId22"/>
    <hyperlink ref="P33" r:id="rId23"/>
    <hyperlink ref="P34" r:id="rId24"/>
    <hyperlink ref="P35" r:id="rId25"/>
    <hyperlink ref="P36" r:id="rId26"/>
    <hyperlink ref="P37" r:id="rId27"/>
    <hyperlink ref="P38" r:id="rId28"/>
    <hyperlink ref="P39" r:id="rId29"/>
    <hyperlink ref="P40" r:id="rId30"/>
    <hyperlink ref="P41" r:id="rId31"/>
    <hyperlink ref="P42" r:id="rId32"/>
    <hyperlink ref="P43" r:id="rId33"/>
    <hyperlink ref="P44" r:id="rId34"/>
    <hyperlink ref="P45" r:id="rId35"/>
    <hyperlink ref="P46" r:id="rId36"/>
    <hyperlink ref="P47" r:id="rId37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2024-03-03T04:49:52Z</dcterms:created>
  <dcterms:modified xsi:type="dcterms:W3CDTF">2024-03-03T04:49:52Z</dcterms:modified>
</cp:coreProperties>
</file>