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9F1882D-3C52-4E48-8E43-7318AC3DF973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Graphs 1" sheetId="3" r:id="rId2"/>
    <sheet name="A_old" sheetId="1" r:id="rId3"/>
  </sheets>
  <calcPr calcId="181029"/>
</workbook>
</file>

<file path=xl/calcChain.xml><?xml version="1.0" encoding="utf-8"?>
<calcChain xmlns="http://schemas.openxmlformats.org/spreadsheetml/2006/main">
  <c r="C13" i="2" l="1"/>
  <c r="Q26" i="2"/>
  <c r="D14" i="2"/>
  <c r="D13" i="2"/>
  <c r="C14" i="2"/>
  <c r="C17" i="2"/>
  <c r="F12" i="2"/>
  <c r="F13" i="2" s="1"/>
  <c r="Q21" i="2"/>
  <c r="F22" i="2"/>
  <c r="F24" i="2"/>
  <c r="G24" i="2"/>
  <c r="C7" i="2"/>
  <c r="E26" i="2"/>
  <c r="F26" i="2"/>
  <c r="E22" i="2"/>
  <c r="E23" i="2"/>
  <c r="F23" i="2"/>
  <c r="G23" i="2"/>
  <c r="E24" i="2"/>
  <c r="E25" i="2"/>
  <c r="F25" i="2"/>
  <c r="G25" i="2"/>
  <c r="Q22" i="2"/>
  <c r="Q23" i="2"/>
  <c r="Q24" i="2"/>
  <c r="Q25" i="2"/>
  <c r="E25" i="1"/>
  <c r="F25" i="1"/>
  <c r="E24" i="1"/>
  <c r="F24" i="1"/>
  <c r="G24" i="1"/>
  <c r="H24" i="1"/>
  <c r="G11" i="1"/>
  <c r="F11" i="1"/>
  <c r="Q25" i="1"/>
  <c r="Q24" i="1"/>
  <c r="Q22" i="1"/>
  <c r="Q23" i="1"/>
  <c r="R22" i="1"/>
  <c r="C7" i="1"/>
  <c r="C8" i="1"/>
  <c r="E15" i="1"/>
  <c r="C17" i="1"/>
  <c r="Q21" i="1"/>
  <c r="I24" i="2"/>
  <c r="S24" i="2"/>
  <c r="R25" i="2"/>
  <c r="I25" i="2"/>
  <c r="I23" i="2"/>
  <c r="S23" i="2"/>
  <c r="S19" i="2"/>
  <c r="E19" i="2"/>
  <c r="G11" i="2"/>
  <c r="G25" i="1"/>
  <c r="H25" i="1"/>
  <c r="E23" i="1"/>
  <c r="F23" i="1"/>
  <c r="E21" i="2"/>
  <c r="F21" i="2"/>
  <c r="G22" i="2"/>
  <c r="E21" i="1"/>
  <c r="F21" i="1"/>
  <c r="G21" i="1"/>
  <c r="H21" i="1"/>
  <c r="G26" i="2"/>
  <c r="G23" i="1"/>
  <c r="H23" i="1"/>
  <c r="E22" i="1"/>
  <c r="F22" i="1"/>
  <c r="G22" i="1"/>
  <c r="H22" i="1"/>
  <c r="R22" i="2"/>
  <c r="I22" i="2"/>
  <c r="G21" i="2"/>
  <c r="I26" i="2"/>
  <c r="R26" i="2"/>
  <c r="R21" i="2"/>
  <c r="H21" i="2"/>
  <c r="R19" i="2"/>
  <c r="E18" i="2"/>
  <c r="C11" i="1"/>
  <c r="C12" i="1"/>
  <c r="D12" i="2"/>
  <c r="D11" i="2"/>
  <c r="C12" i="2"/>
  <c r="C16" i="2" l="1"/>
  <c r="D18" i="2" s="1"/>
  <c r="P23" i="2"/>
  <c r="P26" i="2"/>
  <c r="P25" i="2"/>
  <c r="P24" i="2"/>
  <c r="P21" i="2"/>
  <c r="D15" i="2"/>
  <c r="C19" i="2" s="1"/>
  <c r="P22" i="2"/>
  <c r="D16" i="2"/>
  <c r="D19" i="2" s="1"/>
  <c r="C16" i="1"/>
  <c r="D18" i="1" s="1"/>
  <c r="O22" i="1"/>
  <c r="O23" i="1"/>
  <c r="O24" i="1"/>
  <c r="O21" i="1"/>
  <c r="C15" i="1"/>
  <c r="O25" i="1"/>
  <c r="C11" i="2"/>
  <c r="O26" i="2" l="1"/>
  <c r="O25" i="2"/>
  <c r="O23" i="2"/>
  <c r="O22" i="2"/>
  <c r="O21" i="2"/>
  <c r="O24" i="2"/>
  <c r="C15" i="2"/>
  <c r="C18" i="1"/>
  <c r="E16" i="1"/>
  <c r="E17" i="1" s="1"/>
  <c r="C18" i="2" l="1"/>
  <c r="F14" i="2"/>
  <c r="F15" i="2" s="1"/>
</calcChain>
</file>

<file path=xl/sharedStrings.xml><?xml version="1.0" encoding="utf-8"?>
<sst xmlns="http://schemas.openxmlformats.org/spreadsheetml/2006/main" count="113" uniqueCount="64">
  <si>
    <t>NO Per / GSC 3332-0149</t>
  </si>
  <si>
    <t>IBVS 6193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</si>
  <si>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</si>
  <si>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</si>
  <si>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</si>
  <si>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</si>
  <si>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</si>
  <si>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</si>
  <si>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</si>
  <si>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</si>
  <si>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</si>
  <si>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</si>
  <si>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</si>
  <si>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</si>
  <si>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</si>
  <si>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</si>
  <si>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</si>
  <si>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</si>
  <si>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</si>
  <si>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</si>
  <si>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</si>
  <si>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</si>
  <si>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</si>
  <si>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</si>
  <si>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</si>
  <si>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</si>
  <si>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</si>
  <si>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</si>
  <si>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</si>
  <si>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</si>
  <si>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</si>
  <si>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</si>
  <si>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</si>
  <si>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</si>
  <si>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</si>
  <si>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</si>
  <si>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</si>
  <si>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</si>
  <si>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</si>
  <si>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</si>
  <si>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Per</t>
  </si>
  <si>
    <t>EA</t>
  </si>
  <si>
    <t>IBVS 5699 Eph.</t>
  </si>
  <si>
    <t>IBVS 5699</t>
  </si>
  <si>
    <t>NO Per / na</t>
  </si>
  <si>
    <t>IBVS 6029</t>
  </si>
  <si>
    <t>I</t>
  </si>
  <si>
    <t>II</t>
  </si>
  <si>
    <t>IBVS 6042</t>
  </si>
  <si>
    <t>This period is wrong</t>
  </si>
  <si>
    <t>Prim. Fit</t>
  </si>
  <si>
    <t>Sec. Fit</t>
  </si>
  <si>
    <t>Primary</t>
  </si>
  <si>
    <t>Secondary</t>
  </si>
  <si>
    <t>from VSX 2013-03-11</t>
  </si>
  <si>
    <t>Start of Lin fit (row)</t>
  </si>
  <si>
    <t>Add cycle</t>
  </si>
  <si>
    <t>Start cell (x)</t>
  </si>
  <si>
    <t>Old Cycle</t>
  </si>
  <si>
    <t>Start cell (y)</t>
  </si>
  <si>
    <t># of data points =</t>
  </si>
  <si>
    <t>Prim. Ephem. =</t>
  </si>
  <si>
    <t>Sec. Ephem. =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</si>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</sst>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24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41" applyFont="1" applyAlignment="1">
      <alignment vertical="center" wrapText="1"/>
    </xf>
    <xf numFmtId="0" fontId="13" fillId="0" borderId="0" xfId="41" applyFont="1" applyAlignment="1">
      <alignment horizontal="center" vertical="center" wrapText="1"/>
    </xf>
    <xf numFmtId="0" fontId="13" fillId="0" borderId="0" xfId="41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2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Per - O-C Diagr.</a:t>
            </a:r>
          </a:p>
        </c:rich>
      </c:tx>
      <c:layout>
        <c:manualLayout>
          <c:xMode val="edge"/>
          <c:yMode val="edge"/>
          <c:x val="0.38317822421729991"/>
          <c:y val="3.5947712418300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8368575327004"/>
          <c:y val="0.15686324570837709"/>
          <c:w val="0.8271040618673059"/>
          <c:h val="0.604577092834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77-42CD-9028-E65C3C372BFE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-2.8400000010151416E-3</c:v>
                </c:pt>
                <c:pt idx="2">
                  <c:v>-0.8479799999986426</c:v>
                </c:pt>
                <c:pt idx="3">
                  <c:v>-0.80257999999594176</c:v>
                </c:pt>
                <c:pt idx="4">
                  <c:v>-1.640000002225861E-3</c:v>
                </c:pt>
                <c:pt idx="5">
                  <c:v>-1.1459999994258396E-2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77-42CD-9028-E65C3C372BF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77-42CD-9028-E65C3C372BF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77-42CD-9028-E65C3C372BF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77-42CD-9028-E65C3C372BF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77-42CD-9028-E65C3C372BF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77-42CD-9028-E65C3C372BF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1.2232790795755422E-3</c:v>
                </c:pt>
                <c:pt idx="1">
                  <c:v>-4.9092084322268107E-3</c:v>
                </c:pt>
                <c:pt idx="2">
                  <c:v>-4.9131496195737277E-3</c:v>
                </c:pt>
                <c:pt idx="3">
                  <c:v>-5.2678564807962288E-3</c:v>
                </c:pt>
                <c:pt idx="4">
                  <c:v>-5.3427390403876455E-3</c:v>
                </c:pt>
                <c:pt idx="5">
                  <c:v>-6.911331604460484E-3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77-42CD-9028-E65C3C372BFE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9050">
              <a:noFill/>
            </a:ln>
          </c:spPr>
          <c:dPt>
            <c:idx val="4"/>
            <c:bubble3D val="0"/>
            <c:spPr>
              <a:ln w="190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E77-42CD-9028-E65C3C372BFE}"/>
              </c:ext>
            </c:extLst>
          </c:dPt>
          <c:dPt>
            <c:idx val="5"/>
            <c:bubble3D val="0"/>
            <c:spPr>
              <a:ln w="190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E77-42CD-9028-E65C3C372BFE}"/>
              </c:ext>
            </c:extLst>
          </c:dPt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1'!$P$21:$P$999</c:f>
              <c:numCache>
                <c:formatCode>General</c:formatCode>
                <c:ptCount val="979"/>
                <c:pt idx="0">
                  <c:v>-1.633400000045367</c:v>
                </c:pt>
                <c:pt idx="1">
                  <c:v>-0.84848444444311699</c:v>
                </c:pt>
                <c:pt idx="2">
                  <c:v>-0.8479799999986426</c:v>
                </c:pt>
                <c:pt idx="3">
                  <c:v>-0.80257999999594176</c:v>
                </c:pt>
                <c:pt idx="4">
                  <c:v>-0.79299555555092716</c:v>
                </c:pt>
                <c:pt idx="5">
                  <c:v>-0.5922266666500946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77-42CD-9028-E65C3C37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08928"/>
        <c:axId val="1"/>
      </c:scatterChart>
      <c:valAx>
        <c:axId val="724608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767123735705"/>
              <c:y val="0.830068104232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1869158878503E-2"/>
              <c:y val="0.35947815346611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0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52992207749731"/>
          <c:y val="0.91503576758787508"/>
          <c:w val="0.76947007792250266"/>
          <c:h val="6.28122484689413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Per - Primary O-C Diagr.</a:t>
            </a:r>
          </a:p>
        </c:rich>
      </c:tx>
      <c:layout>
        <c:manualLayout>
          <c:xMode val="edge"/>
          <c:yMode val="edge"/>
          <c:x val="0.33385335413416539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059282371295"/>
          <c:y val="0.15737704918032788"/>
          <c:w val="0.80811232449297976"/>
          <c:h val="0.60327868852459021"/>
        </c:manualLayout>
      </c:layout>
      <c:scatterChart>
        <c:scatterStyle val="lineMarker"/>
        <c:varyColors val="0"/>
        <c:ser>
          <c:idx val="3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  <c:pt idx="0">
                  <c:v>0</c:v>
                </c:pt>
                <c:pt idx="1">
                  <c:v>-2.8400000010151416E-3</c:v>
                </c:pt>
                <c:pt idx="4">
                  <c:v>-1.640000002225861E-3</c:v>
                </c:pt>
                <c:pt idx="5">
                  <c:v>-1.1459999994258396E-2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D-4F4B-B4C8-4989D44E497D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1.2232790795755422E-3</c:v>
                </c:pt>
                <c:pt idx="1">
                  <c:v>-4.9092084322268107E-3</c:v>
                </c:pt>
                <c:pt idx="2">
                  <c:v>-4.9131496195737277E-3</c:v>
                </c:pt>
                <c:pt idx="3">
                  <c:v>-5.2678564807962288E-3</c:v>
                </c:pt>
                <c:pt idx="4">
                  <c:v>-5.3427390403876455E-3</c:v>
                </c:pt>
                <c:pt idx="5">
                  <c:v>-6.911331604460484E-3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1D-4F4B-B4C8-4989D44E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16488"/>
        <c:axId val="1"/>
      </c:scatterChart>
      <c:valAx>
        <c:axId val="724616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98127925117"/>
              <c:y val="0.82950819672131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82059282371297E-2"/>
              <c:y val="0.36065573770491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16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021840873634945"/>
          <c:y val="0.91475409836065569"/>
          <c:w val="0.22776911076443063"/>
          <c:h val="6.5573770491803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Per secondary   - O-C Diagr.</a:t>
            </a:r>
          </a:p>
        </c:rich>
      </c:tx>
      <c:layout>
        <c:manualLayout>
          <c:xMode val="edge"/>
          <c:yMode val="edge"/>
          <c:x val="0.38733191061397698"/>
          <c:y val="3.5947712418300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8368575327004"/>
          <c:y val="0.15686324570837709"/>
          <c:w val="0.8271040618673059"/>
          <c:h val="0.60457709283437"/>
        </c:manualLayout>
      </c:layout>
      <c:scatterChart>
        <c:scatterStyle val="lineMarker"/>
        <c:varyColors val="0"/>
        <c:ser>
          <c:idx val="3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2">
                  <c:v>-0.8479799999986426</c:v>
                </c:pt>
                <c:pt idx="3">
                  <c:v>-0.80257999999594176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62-4301-A95C-07647540ACA0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  <c:pt idx="2">
                  <c:v>778.5</c:v>
                </c:pt>
                <c:pt idx="3">
                  <c:v>823.5</c:v>
                </c:pt>
                <c:pt idx="4">
                  <c:v>833</c:v>
                </c:pt>
                <c:pt idx="5">
                  <c:v>1032</c:v>
                </c:pt>
              </c:numCache>
            </c:numRef>
          </c:xVal>
          <c:yVal>
            <c:numRef>
              <c:f>'Active 1'!$P$21:$P$999</c:f>
              <c:numCache>
                <c:formatCode>General</c:formatCode>
                <c:ptCount val="979"/>
                <c:pt idx="0">
                  <c:v>-1.633400000045367</c:v>
                </c:pt>
                <c:pt idx="1">
                  <c:v>-0.84848444444311699</c:v>
                </c:pt>
                <c:pt idx="2">
                  <c:v>-0.8479799999986426</c:v>
                </c:pt>
                <c:pt idx="3">
                  <c:v>-0.80257999999594176</c:v>
                </c:pt>
                <c:pt idx="4">
                  <c:v>-0.79299555555092716</c:v>
                </c:pt>
                <c:pt idx="5">
                  <c:v>-0.5922266666500946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62-4301-A95C-07647540A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16848"/>
        <c:axId val="1"/>
      </c:scatterChart>
      <c:valAx>
        <c:axId val="72461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767123735705"/>
              <c:y val="0.830068104232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1869158878503E-2"/>
              <c:y val="0.35947815346611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16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925299057244011"/>
          <c:y val="0.91503576758787508"/>
          <c:w val="0.2523367756600518"/>
          <c:h val="6.53598202185511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Per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76246334310852"/>
          <c:w val="0.8481203007518797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A_old!$H$20:$H$20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21.434999999997672</c:v>
                </c:pt>
                <c:pt idx="2">
                  <c:v>23.436000000001513</c:v>
                </c:pt>
                <c:pt idx="3">
                  <c:v>23.40400000000227</c:v>
                </c:pt>
                <c:pt idx="4">
                  <c:v>24.188600000001315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27-4BCB-A18A-293141CA893E}"/>
            </c:ext>
          </c:extLst>
        </c:ser>
        <c:ser>
          <c:idx val="1"/>
          <c:order val="1"/>
          <c:tx>
            <c:strRef>
              <c:f>A_old!$I$20:$I$20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27-4BCB-A18A-293141CA893E}"/>
            </c:ext>
          </c:extLst>
        </c:ser>
        <c:ser>
          <c:idx val="3"/>
          <c:order val="2"/>
          <c:tx>
            <c:strRef>
              <c:f>A_old!$J$20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27-4BCB-A18A-293141CA893E}"/>
            </c:ext>
          </c:extLst>
        </c:ser>
        <c:ser>
          <c:idx val="4"/>
          <c:order val="3"/>
          <c:tx>
            <c:strRef>
              <c:f>A_old!$K$20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27-4BCB-A18A-293141CA893E}"/>
            </c:ext>
          </c:extLst>
        </c:ser>
        <c:ser>
          <c:idx val="2"/>
          <c:order val="4"/>
          <c:tx>
            <c:strRef>
              <c:f>A_old!$L$20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27-4BCB-A18A-293141CA893E}"/>
            </c:ext>
          </c:extLst>
        </c:ser>
        <c:ser>
          <c:idx val="5"/>
          <c:order val="5"/>
          <c:tx>
            <c:strRef>
              <c:f>A_old!$M$20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27-4BCB-A18A-293141CA893E}"/>
            </c:ext>
          </c:extLst>
        </c:ser>
        <c:ser>
          <c:idx val="6"/>
          <c:order val="6"/>
          <c:tx>
            <c:strRef>
              <c:f>A_old!$N$20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A_old!$D$21:$D$999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0.01</c:v>
                  </c:pt>
                  <c:pt idx="3">
                    <c:v>1E-4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27-4BCB-A18A-293141CA893E}"/>
            </c:ext>
          </c:extLst>
        </c:ser>
        <c:ser>
          <c:idx val="7"/>
          <c:order val="7"/>
          <c:tx>
            <c:strRef>
              <c:f>A_old!$O$20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A_old!$F$21:$F$999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</c:v>
                </c:pt>
                <c:pt idx="2">
                  <c:v>774</c:v>
                </c:pt>
                <c:pt idx="3">
                  <c:v>819</c:v>
                </c:pt>
                <c:pt idx="4">
                  <c:v>828.5</c:v>
                </c:pt>
              </c:numCache>
            </c:numRef>
          </c:xVal>
          <c:yVal>
            <c:numRef>
              <c:f>A_old!$O$21:$O$999</c:f>
              <c:numCache>
                <c:formatCode>General</c:formatCode>
                <c:ptCount val="979"/>
                <c:pt idx="0">
                  <c:v>0.47434455270408193</c:v>
                </c:pt>
                <c:pt idx="1">
                  <c:v>22.410897725863308</c:v>
                </c:pt>
                <c:pt idx="2">
                  <c:v>22.410897725863308</c:v>
                </c:pt>
                <c:pt idx="3">
                  <c:v>23.686278724302799</c:v>
                </c:pt>
                <c:pt idx="4">
                  <c:v>23.955525823973357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27-4BCB-A18A-293141CA8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80976"/>
        <c:axId val="1"/>
      </c:scatterChart>
      <c:valAx>
        <c:axId val="77788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80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360902255639097"/>
          <c:y val="0.92375366568914952"/>
          <c:w val="0.87819548872180453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66675</xdr:rowOff>
    </xdr:from>
    <xdr:to>
      <xdr:col>17</xdr:col>
      <xdr:colOff>209550</xdr:colOff>
      <xdr:row>17</xdr:row>
      <xdr:rowOff>76200</xdr:rowOff>
    </xdr:to>
    <xdr:graphicFrame macro="">
      <xdr:nvGraphicFramePr>
        <xdr:cNvPr id="50182" name="Chart 3">
          <a:extLst>
            <a:ext uri="{FF2B5EF4-FFF2-40B4-BE49-F238E27FC236}">
              <a16:creationId xmlns:a16="http://schemas.microsoft.com/office/drawing/2014/main" id="{2A80E5D7-FFD8-6020-E691-6013F870F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276225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CAE53-C066-F116-C256-A3399143B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20</xdr:row>
      <xdr:rowOff>28574</xdr:rowOff>
    </xdr:from>
    <xdr:to>
      <xdr:col>11</xdr:col>
      <xdr:colOff>180974</xdr:colOff>
      <xdr:row>38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51A6A5-9673-92ED-9F28-6CB629EC5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B844E7-0679-D326-733A-6CFF3A922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85546875" customWidth="1"/>
    <col min="6" max="6" width="14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0</v>
      </c>
      <c r="D1" t="s">
        <v>40</v>
      </c>
    </row>
    <row r="2" spans="1:7" s="38" customFormat="1" ht="12.95" customHeight="1" x14ac:dyDescent="0.2">
      <c r="A2" s="38" t="s">
        <v>25</v>
      </c>
      <c r="B2" s="38" t="s">
        <v>41</v>
      </c>
      <c r="C2" s="39"/>
      <c r="D2" s="39"/>
    </row>
    <row r="3" spans="1:7" s="38" customFormat="1" ht="12.95" customHeight="1" thickBot="1" x14ac:dyDescent="0.25"/>
    <row r="4" spans="1:7" s="38" customFormat="1" ht="12.95" customHeight="1" thickTop="1" thickBot="1" x14ac:dyDescent="0.25">
      <c r="A4" s="40" t="s">
        <v>42</v>
      </c>
      <c r="C4" s="41">
        <v>51516.17</v>
      </c>
      <c r="D4" s="42">
        <v>5.694</v>
      </c>
    </row>
    <row r="5" spans="1:7" s="38" customFormat="1" ht="12.95" customHeight="1" thickTop="1" x14ac:dyDescent="0.2">
      <c r="A5" s="40" t="s">
        <v>32</v>
      </c>
      <c r="C5" s="43">
        <v>-9.5</v>
      </c>
      <c r="D5" s="38" t="s">
        <v>33</v>
      </c>
    </row>
    <row r="6" spans="1:7" s="38" customFormat="1" ht="12.95" customHeight="1" x14ac:dyDescent="0.2">
      <c r="A6" s="44" t="s">
        <v>2</v>
      </c>
    </row>
    <row r="7" spans="1:7" s="38" customFormat="1" ht="12.95" customHeight="1" x14ac:dyDescent="0.2">
      <c r="A7" s="38" t="s">
        <v>3</v>
      </c>
      <c r="C7" s="70">
        <f>+C4</f>
        <v>51516.17</v>
      </c>
    </row>
    <row r="8" spans="1:7" s="38" customFormat="1" ht="12.95" customHeight="1" x14ac:dyDescent="0.2">
      <c r="A8" s="38" t="s">
        <v>4</v>
      </c>
      <c r="C8" s="70">
        <v>5.6922800000000002</v>
      </c>
      <c r="D8" s="38" t="s">
        <v>54</v>
      </c>
    </row>
    <row r="9" spans="1:7" s="38" customFormat="1" ht="12.95" customHeight="1" x14ac:dyDescent="0.2">
      <c r="A9" s="45" t="s">
        <v>55</v>
      </c>
      <c r="B9" s="45"/>
      <c r="C9" s="46">
        <v>21</v>
      </c>
      <c r="D9" s="46">
        <v>21</v>
      </c>
    </row>
    <row r="10" spans="1:7" s="38" customFormat="1" ht="12.95" customHeight="1" thickBot="1" x14ac:dyDescent="0.25">
      <c r="C10" s="47" t="s">
        <v>52</v>
      </c>
      <c r="D10" s="47" t="s">
        <v>53</v>
      </c>
    </row>
    <row r="11" spans="1:7" s="38" customFormat="1" ht="12.95" customHeight="1" x14ac:dyDescent="0.2">
      <c r="A11" s="38" t="s">
        <v>16</v>
      </c>
      <c r="C11" s="48">
        <f ca="1">INTERCEPT(INDIRECT(C14):R$935,INDIRECT(C13):$F$935)</f>
        <v>1.2232790795755422E-3</v>
      </c>
      <c r="D11" s="48">
        <f ca="1">INTERCEPT(INDIRECT(D14):S$935,INDIRECT(D13):$F$935)</f>
        <v>-1.633400000045367</v>
      </c>
      <c r="E11" s="45" t="s">
        <v>56</v>
      </c>
      <c r="F11" s="38">
        <v>1</v>
      </c>
      <c r="G11" s="48" t="str">
        <f>"G"&amp;E19</f>
        <v>G2</v>
      </c>
    </row>
    <row r="12" spans="1:7" s="38" customFormat="1" ht="12.95" customHeight="1" x14ac:dyDescent="0.2">
      <c r="A12" s="38" t="s">
        <v>17</v>
      </c>
      <c r="C12" s="48">
        <f ca="1">SLOPE(INDIRECT(C14):R$935,INDIRECT(C13):$F$935)</f>
        <v>-7.882374693833359E-6</v>
      </c>
      <c r="D12" s="48">
        <f ca="1">SLOPE(INDIRECT(D14):S$935,INDIRECT(D13):$F$935)</f>
        <v>1.0088888889489074E-3</v>
      </c>
      <c r="E12" s="45" t="s">
        <v>34</v>
      </c>
      <c r="F12" s="49">
        <f ca="1">NOW()+15018.5+$C$5/24</f>
        <v>60372.751629398146</v>
      </c>
    </row>
    <row r="13" spans="1:7" s="38" customFormat="1" ht="12.95" customHeight="1" x14ac:dyDescent="0.2">
      <c r="A13" s="45" t="s">
        <v>57</v>
      </c>
      <c r="B13" s="45"/>
      <c r="C13" s="46" t="str">
        <f>"F"&amp;C9</f>
        <v>F21</v>
      </c>
      <c r="D13" s="46" t="str">
        <f>"F"&amp;D9</f>
        <v>F21</v>
      </c>
      <c r="E13" s="45" t="s">
        <v>58</v>
      </c>
      <c r="F13" s="49">
        <f ca="1">ROUND(2*(F12-$C$7)/$C$8,0)/2+F11</f>
        <v>1557</v>
      </c>
    </row>
    <row r="14" spans="1:7" s="38" customFormat="1" ht="12.95" customHeight="1" x14ac:dyDescent="0.2">
      <c r="A14" s="45" t="s">
        <v>59</v>
      </c>
      <c r="B14" s="45"/>
      <c r="C14" s="46" t="str">
        <f>"R"&amp;C9</f>
        <v>R21</v>
      </c>
      <c r="D14" s="46" t="str">
        <f>"S"&amp;D9</f>
        <v>S21</v>
      </c>
      <c r="E14" s="45" t="s">
        <v>35</v>
      </c>
      <c r="F14" s="48">
        <f ca="1">ROUND(2*(F12-$C$15)/$C$16,0)/2+F11</f>
        <v>525</v>
      </c>
    </row>
    <row r="15" spans="1:7" s="38" customFormat="1" ht="12.95" customHeight="1" x14ac:dyDescent="0.2">
      <c r="A15" s="50" t="s">
        <v>18</v>
      </c>
      <c r="C15" s="51">
        <f ca="1">($C7+C11)+($C8+C12)*INT(MAX($F21:$F3533))</f>
        <v>57390.596048668398</v>
      </c>
      <c r="D15" s="51">
        <f ca="1">($C7+D11)+($C8+D12)*INT(MAX($F21:$F3533))</f>
        <v>57390.010733333351</v>
      </c>
      <c r="E15" s="45" t="s">
        <v>36</v>
      </c>
      <c r="F15" s="52">
        <f ca="1">+$C$15+$C$16*F14-15018.5-$C$5/24</f>
        <v>45360.934743755017</v>
      </c>
    </row>
    <row r="16" spans="1:7" s="38" customFormat="1" ht="12.95" customHeight="1" x14ac:dyDescent="0.2">
      <c r="A16" s="44" t="s">
        <v>5</v>
      </c>
      <c r="C16" s="53">
        <f ca="1">+$C8+C12</f>
        <v>5.6922721176253068</v>
      </c>
      <c r="D16" s="48">
        <f ca="1">+$C8+D12</f>
        <v>5.693288888888949</v>
      </c>
      <c r="E16" s="54"/>
      <c r="F16" s="54" t="s">
        <v>37</v>
      </c>
    </row>
    <row r="17" spans="1:19" s="38" customFormat="1" ht="12.95" customHeight="1" thickBot="1" x14ac:dyDescent="0.25">
      <c r="A17" s="45" t="s">
        <v>60</v>
      </c>
      <c r="C17" s="38">
        <f>COUNT(C21:C1247)</f>
        <v>6</v>
      </c>
    </row>
    <row r="18" spans="1:19" s="38" customFormat="1" ht="12.95" customHeight="1" thickTop="1" thickBot="1" x14ac:dyDescent="0.25">
      <c r="A18" s="44" t="s">
        <v>61</v>
      </c>
      <c r="C18" s="55">
        <f ca="1">+C15</f>
        <v>57390.596048668398</v>
      </c>
      <c r="D18" s="56">
        <f ca="1">+C16</f>
        <v>5.6922721176253068</v>
      </c>
      <c r="E18" s="57">
        <f>R19</f>
        <v>4</v>
      </c>
    </row>
    <row r="19" spans="1:19" s="38" customFormat="1" ht="12.95" customHeight="1" thickTop="1" thickBot="1" x14ac:dyDescent="0.25">
      <c r="A19" s="44" t="s">
        <v>62</v>
      </c>
      <c r="C19" s="55">
        <f ca="1">+D15</f>
        <v>57390.010733333351</v>
      </c>
      <c r="D19" s="56">
        <f ca="1">+D16</f>
        <v>5.693288888888949</v>
      </c>
      <c r="E19" s="57">
        <f>S19</f>
        <v>2</v>
      </c>
      <c r="R19" s="38">
        <f>COUNT(R21:R322)</f>
        <v>4</v>
      </c>
      <c r="S19" s="38">
        <f>COUNT(S21:S322)</f>
        <v>2</v>
      </c>
    </row>
    <row r="20" spans="1:19" s="38" customFormat="1" ht="12.95" customHeight="1" thickTop="1" thickBot="1" x14ac:dyDescent="0.25">
      <c r="A20" s="47" t="s">
        <v>7</v>
      </c>
      <c r="B20" s="47" t="s">
        <v>8</v>
      </c>
      <c r="C20" s="47" t="s">
        <v>9</v>
      </c>
      <c r="D20" s="47" t="s">
        <v>13</v>
      </c>
      <c r="E20" s="47" t="s">
        <v>10</v>
      </c>
      <c r="F20" s="47" t="s">
        <v>11</v>
      </c>
      <c r="G20" s="47" t="s">
        <v>12</v>
      </c>
      <c r="H20" s="58" t="s">
        <v>30</v>
      </c>
      <c r="I20" s="58" t="s">
        <v>63</v>
      </c>
      <c r="J20" s="58" t="s">
        <v>19</v>
      </c>
      <c r="K20" s="58" t="s">
        <v>26</v>
      </c>
      <c r="L20" s="58" t="s">
        <v>27</v>
      </c>
      <c r="M20" s="58" t="s">
        <v>28</v>
      </c>
      <c r="N20" s="58" t="s">
        <v>29</v>
      </c>
      <c r="O20" s="58" t="s">
        <v>50</v>
      </c>
      <c r="P20" s="59" t="s">
        <v>51</v>
      </c>
      <c r="Q20" s="47" t="s">
        <v>15</v>
      </c>
      <c r="R20" s="60" t="s">
        <v>52</v>
      </c>
      <c r="S20" s="60" t="s">
        <v>53</v>
      </c>
    </row>
    <row r="21" spans="1:19" s="38" customFormat="1" ht="12.95" customHeight="1" x14ac:dyDescent="0.2">
      <c r="A21" s="61" t="s">
        <v>43</v>
      </c>
      <c r="C21" s="62">
        <v>51516.17</v>
      </c>
      <c r="D21" s="62" t="s">
        <v>14</v>
      </c>
      <c r="E21" s="38">
        <f t="shared" ref="E21:E26" si="0">+(C21-C$7)/C$8</f>
        <v>0</v>
      </c>
      <c r="F21" s="38">
        <f t="shared" ref="F21:F26" si="1">ROUND(2*E21,0)/2</f>
        <v>0</v>
      </c>
      <c r="G21" s="38">
        <f t="shared" ref="G21:G26" si="2">+C21-(C$7+F21*C$8)</f>
        <v>0</v>
      </c>
      <c r="H21" s="38">
        <f t="shared" ref="H21:H26" si="3">+G21</f>
        <v>0</v>
      </c>
      <c r="O21" s="38">
        <f t="shared" ref="O21:P25" ca="1" si="4">+C$11+C$12*$F21</f>
        <v>1.2232790795755422E-3</v>
      </c>
      <c r="P21" s="38">
        <f t="shared" ca="1" si="4"/>
        <v>-1.633400000045367</v>
      </c>
      <c r="Q21" s="63">
        <f t="shared" ref="Q21:Q26" si="5">+C21-15018.5</f>
        <v>36497.67</v>
      </c>
      <c r="R21" s="38">
        <f>G21</f>
        <v>0</v>
      </c>
    </row>
    <row r="22" spans="1:19" s="38" customFormat="1" ht="12.95" customHeight="1" x14ac:dyDescent="0.2">
      <c r="A22" s="64" t="s">
        <v>45</v>
      </c>
      <c r="B22" s="65" t="s">
        <v>46</v>
      </c>
      <c r="C22" s="66">
        <v>55944.760999999999</v>
      </c>
      <c r="D22" s="66">
        <v>8.9999999999999993E-3</v>
      </c>
      <c r="E22" s="38">
        <f t="shared" si="0"/>
        <v>777.99950107865391</v>
      </c>
      <c r="F22" s="38">
        <f t="shared" si="1"/>
        <v>778</v>
      </c>
      <c r="G22" s="38">
        <f t="shared" si="2"/>
        <v>-2.8400000010151416E-3</v>
      </c>
      <c r="I22" s="38">
        <f>+G22</f>
        <v>-2.8400000010151416E-3</v>
      </c>
      <c r="O22" s="38">
        <f t="shared" ca="1" si="4"/>
        <v>-4.9092084322268107E-3</v>
      </c>
      <c r="P22" s="38">
        <f t="shared" ca="1" si="4"/>
        <v>-0.84848444444311699</v>
      </c>
      <c r="Q22" s="63">
        <f t="shared" si="5"/>
        <v>40926.260999999999</v>
      </c>
      <c r="R22" s="38">
        <f>G22</f>
        <v>-2.8400000010151416E-3</v>
      </c>
    </row>
    <row r="23" spans="1:19" s="38" customFormat="1" ht="12.95" customHeight="1" x14ac:dyDescent="0.2">
      <c r="A23" s="64" t="s">
        <v>45</v>
      </c>
      <c r="B23" s="65" t="s">
        <v>47</v>
      </c>
      <c r="C23" s="66">
        <v>55946.762000000002</v>
      </c>
      <c r="D23" s="66">
        <v>0.01</v>
      </c>
      <c r="E23" s="38">
        <f t="shared" si="0"/>
        <v>778.35102981582145</v>
      </c>
      <c r="F23" s="38">
        <f t="shared" si="1"/>
        <v>778.5</v>
      </c>
      <c r="G23" s="38">
        <f t="shared" si="2"/>
        <v>-0.8479799999986426</v>
      </c>
      <c r="I23" s="38">
        <f>+G23</f>
        <v>-0.8479799999986426</v>
      </c>
      <c r="O23" s="38">
        <f t="shared" ca="1" si="4"/>
        <v>-4.9131496195737277E-3</v>
      </c>
      <c r="P23" s="38">
        <f t="shared" ca="1" si="4"/>
        <v>-0.8479799999986426</v>
      </c>
      <c r="Q23" s="63">
        <f t="shared" si="5"/>
        <v>40928.262000000002</v>
      </c>
      <c r="S23" s="38">
        <f>G23</f>
        <v>-0.8479799999986426</v>
      </c>
    </row>
    <row r="24" spans="1:19" s="38" customFormat="1" ht="12.95" customHeight="1" x14ac:dyDescent="0.2">
      <c r="A24" s="64" t="s">
        <v>48</v>
      </c>
      <c r="B24" s="65" t="s">
        <v>47</v>
      </c>
      <c r="C24" s="66">
        <v>56202.96</v>
      </c>
      <c r="D24" s="66">
        <v>1E-4</v>
      </c>
      <c r="E24" s="38">
        <f t="shared" si="0"/>
        <v>823.35900553029728</v>
      </c>
      <c r="F24" s="38">
        <f t="shared" si="1"/>
        <v>823.5</v>
      </c>
      <c r="G24" s="38">
        <f t="shared" si="2"/>
        <v>-0.80257999999594176</v>
      </c>
      <c r="I24" s="38">
        <f>+G24</f>
        <v>-0.80257999999594176</v>
      </c>
      <c r="O24" s="38">
        <f t="shared" ca="1" si="4"/>
        <v>-5.2678564807962288E-3</v>
      </c>
      <c r="P24" s="38">
        <f t="shared" ca="1" si="4"/>
        <v>-0.80257999999594176</v>
      </c>
      <c r="Q24" s="63">
        <f t="shared" si="5"/>
        <v>41184.46</v>
      </c>
      <c r="S24" s="38">
        <f>G24</f>
        <v>-0.80257999999594176</v>
      </c>
    </row>
    <row r="25" spans="1:19" s="38" customFormat="1" ht="12.95" customHeight="1" x14ac:dyDescent="0.2">
      <c r="A25" s="64" t="s">
        <v>48</v>
      </c>
      <c r="B25" s="65" t="s">
        <v>46</v>
      </c>
      <c r="C25" s="66">
        <v>56257.837599999999</v>
      </c>
      <c r="D25" s="66">
        <v>8.0000000000000004E-4</v>
      </c>
      <c r="E25" s="38">
        <f t="shared" si="0"/>
        <v>832.9997118904904</v>
      </c>
      <c r="F25" s="38">
        <f t="shared" si="1"/>
        <v>833</v>
      </c>
      <c r="G25" s="38">
        <f t="shared" si="2"/>
        <v>-1.640000002225861E-3</v>
      </c>
      <c r="I25" s="38">
        <f>+G25</f>
        <v>-1.640000002225861E-3</v>
      </c>
      <c r="O25" s="38">
        <f t="shared" ca="1" si="4"/>
        <v>-5.3427390403876455E-3</v>
      </c>
      <c r="P25" s="38">
        <f t="shared" ca="1" si="4"/>
        <v>-0.79299555555092716</v>
      </c>
      <c r="Q25" s="63">
        <f t="shared" si="5"/>
        <v>41239.337599999999</v>
      </c>
      <c r="R25" s="38">
        <f>G25</f>
        <v>-1.640000002225861E-3</v>
      </c>
    </row>
    <row r="26" spans="1:19" s="38" customFormat="1" ht="12.95" customHeight="1" x14ac:dyDescent="0.2">
      <c r="A26" s="67" t="s">
        <v>1</v>
      </c>
      <c r="B26" s="68" t="s">
        <v>46</v>
      </c>
      <c r="C26" s="69">
        <v>57390.591500000002</v>
      </c>
      <c r="D26" s="69">
        <v>6.9999999999999999E-4</v>
      </c>
      <c r="E26" s="38">
        <f t="shared" si="0"/>
        <v>1031.9979867469633</v>
      </c>
      <c r="F26" s="38">
        <f t="shared" si="1"/>
        <v>1032</v>
      </c>
      <c r="G26" s="38">
        <f t="shared" si="2"/>
        <v>-1.1459999994258396E-2</v>
      </c>
      <c r="I26" s="38">
        <f>+G26</f>
        <v>-1.1459999994258396E-2</v>
      </c>
      <c r="O26" s="38">
        <f ca="1">+C$11+C$12*$F26</f>
        <v>-6.911331604460484E-3</v>
      </c>
      <c r="P26" s="38">
        <f ca="1">+D$11+D$12*$F26</f>
        <v>-0.5922266666500946</v>
      </c>
      <c r="Q26" s="63">
        <f t="shared" si="5"/>
        <v>42372.091500000002</v>
      </c>
      <c r="R26" s="38">
        <f>G26</f>
        <v>-1.1459999994258396E-2</v>
      </c>
    </row>
    <row r="27" spans="1:19" s="38" customFormat="1" ht="12.95" customHeight="1" x14ac:dyDescent="0.2">
      <c r="C27" s="62"/>
      <c r="D27" s="62"/>
      <c r="Q27" s="63"/>
    </row>
    <row r="28" spans="1:19" s="38" customFormat="1" ht="12.95" customHeight="1" x14ac:dyDescent="0.2">
      <c r="C28" s="62"/>
      <c r="D28" s="62"/>
      <c r="Q28" s="63"/>
    </row>
    <row r="29" spans="1:19" s="38" customFormat="1" ht="12.95" customHeight="1" x14ac:dyDescent="0.2">
      <c r="C29" s="62"/>
      <c r="D29" s="62"/>
      <c r="Q29" s="63"/>
    </row>
    <row r="30" spans="1:19" s="38" customFormat="1" ht="12.95" customHeight="1" x14ac:dyDescent="0.2">
      <c r="C30" s="62"/>
      <c r="D30" s="62"/>
      <c r="Q30" s="63"/>
    </row>
    <row r="31" spans="1:19" s="38" customFormat="1" ht="12.95" customHeight="1" x14ac:dyDescent="0.2">
      <c r="C31" s="62"/>
      <c r="D31" s="62"/>
      <c r="Q31" s="63"/>
    </row>
    <row r="32" spans="1:19" s="38" customFormat="1" ht="12.95" customHeight="1" x14ac:dyDescent="0.2">
      <c r="C32" s="62"/>
      <c r="D32" s="62"/>
      <c r="Q32" s="63"/>
    </row>
    <row r="33" spans="3:17" s="38" customFormat="1" ht="12.95" customHeight="1" x14ac:dyDescent="0.2">
      <c r="C33" s="62"/>
      <c r="D33" s="62"/>
      <c r="Q33" s="63"/>
    </row>
    <row r="34" spans="3:17" s="38" customFormat="1" ht="12.95" customHeight="1" x14ac:dyDescent="0.2">
      <c r="C34" s="62"/>
      <c r="D34" s="62"/>
    </row>
    <row r="35" spans="3:17" s="38" customFormat="1" ht="12.95" customHeight="1" x14ac:dyDescent="0.2">
      <c r="C35" s="62"/>
      <c r="D35" s="62"/>
    </row>
    <row r="36" spans="3:17" s="38" customFormat="1" ht="12.95" customHeight="1" x14ac:dyDescent="0.2">
      <c r="C36" s="62"/>
      <c r="D36" s="62"/>
    </row>
    <row r="37" spans="3:17" s="38" customFormat="1" ht="12.95" customHeight="1" x14ac:dyDescent="0.2">
      <c r="C37" s="62"/>
      <c r="D37" s="62"/>
    </row>
    <row r="38" spans="3:17" s="38" customFormat="1" ht="12.95" customHeight="1" x14ac:dyDescent="0.2">
      <c r="C38" s="62"/>
      <c r="D38" s="62"/>
    </row>
    <row r="39" spans="3:17" s="38" customFormat="1" ht="12.95" customHeight="1" x14ac:dyDescent="0.2">
      <c r="C39" s="62"/>
      <c r="D39" s="62"/>
    </row>
    <row r="40" spans="3:17" s="38" customFormat="1" ht="12.95" customHeight="1" x14ac:dyDescent="0.2">
      <c r="C40" s="62"/>
      <c r="D40" s="62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3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D1" t="s">
        <v>40</v>
      </c>
    </row>
    <row r="2" spans="1:7" x14ac:dyDescent="0.2">
      <c r="A2" t="s">
        <v>25</v>
      </c>
      <c r="B2" s="12" t="s">
        <v>41</v>
      </c>
      <c r="C2" s="3" t="s">
        <v>49</v>
      </c>
      <c r="D2" s="3"/>
    </row>
    <row r="3" spans="1:7" ht="13.5" thickBot="1" x14ac:dyDescent="0.25"/>
    <row r="4" spans="1:7" ht="14.25" thickTop="1" thickBot="1" x14ac:dyDescent="0.25">
      <c r="A4" s="29" t="s">
        <v>42</v>
      </c>
      <c r="C4" s="8">
        <v>51516.17</v>
      </c>
      <c r="D4" s="9">
        <v>5.694</v>
      </c>
    </row>
    <row r="6" spans="1:7" x14ac:dyDescent="0.2">
      <c r="A6" s="5" t="s">
        <v>2</v>
      </c>
    </row>
    <row r="7" spans="1:7" x14ac:dyDescent="0.2">
      <c r="A7" t="s">
        <v>3</v>
      </c>
      <c r="C7">
        <f>+C4</f>
        <v>51516.17</v>
      </c>
    </row>
    <row r="8" spans="1:7" x14ac:dyDescent="0.2">
      <c r="A8" t="s">
        <v>4</v>
      </c>
      <c r="C8">
        <f>+D4</f>
        <v>5.694</v>
      </c>
    </row>
    <row r="9" spans="1:7" x14ac:dyDescent="0.2">
      <c r="A9" s="11" t="s">
        <v>32</v>
      </c>
      <c r="B9" s="12"/>
      <c r="C9" s="13">
        <v>8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0.47434455270408193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2.8341799965321997E-2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56254.743354923994</v>
      </c>
      <c r="D15" s="16" t="s">
        <v>34</v>
      </c>
      <c r="E15" s="17">
        <f ca="1">TODAY()+15018.5-B9/24</f>
        <v>60372.5</v>
      </c>
    </row>
    <row r="16" spans="1:7" x14ac:dyDescent="0.2">
      <c r="A16" s="18" t="s">
        <v>5</v>
      </c>
      <c r="B16" s="12"/>
      <c r="C16" s="19">
        <f ca="1">+C8+C12</f>
        <v>5.7223417999653217</v>
      </c>
      <c r="D16" s="16" t="s">
        <v>35</v>
      </c>
      <c r="E16" s="17">
        <f ca="1">ROUND(2*(E15-C15)/C16,0)/2+1</f>
        <v>720.5</v>
      </c>
    </row>
    <row r="17" spans="1:18" ht="13.5" thickBot="1" x14ac:dyDescent="0.25">
      <c r="A17" s="16" t="s">
        <v>31</v>
      </c>
      <c r="B17" s="12"/>
      <c r="C17" s="12">
        <f>COUNT(C21:C2191)</f>
        <v>5</v>
      </c>
      <c r="D17" s="16" t="s">
        <v>36</v>
      </c>
      <c r="E17" s="20">
        <f ca="1">+C15+C16*E16-15018.5-C9/24</f>
        <v>45358.857288465675</v>
      </c>
    </row>
    <row r="18" spans="1:18" ht="14.25" thickTop="1" thickBot="1" x14ac:dyDescent="0.25">
      <c r="A18" s="18" t="s">
        <v>6</v>
      </c>
      <c r="B18" s="12"/>
      <c r="C18" s="21">
        <f ca="1">+C15</f>
        <v>56254.743354923994</v>
      </c>
      <c r="D18" s="22">
        <f ca="1">+C16</f>
        <v>5.7223417999653217</v>
      </c>
      <c r="E18" s="23" t="s">
        <v>37</v>
      </c>
    </row>
    <row r="19" spans="1:18" ht="13.5" thickTop="1" x14ac:dyDescent="0.2">
      <c r="A19" s="27" t="s">
        <v>38</v>
      </c>
      <c r="E19" s="28">
        <v>22</v>
      </c>
    </row>
    <row r="20" spans="1:18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30</v>
      </c>
      <c r="I20" s="7" t="s">
        <v>39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0" t="s">
        <v>43</v>
      </c>
      <c r="C21" s="10">
        <v>51516.17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0.47434455270408193</v>
      </c>
      <c r="Q21" s="2">
        <f>+C21-15018.5</f>
        <v>36497.67</v>
      </c>
    </row>
    <row r="22" spans="1:18" x14ac:dyDescent="0.2">
      <c r="A22" s="31" t="s">
        <v>45</v>
      </c>
      <c r="B22" s="36" t="s">
        <v>46</v>
      </c>
      <c r="C22" s="32">
        <v>55944.760999999999</v>
      </c>
      <c r="D22" s="32">
        <v>8.9999999999999993E-3</v>
      </c>
      <c r="E22">
        <f>+(C22-C$7)/C$8</f>
        <v>777.76448893572183</v>
      </c>
      <c r="F22" s="37">
        <f>ROUND(2*E22,0)/2-4</f>
        <v>774</v>
      </c>
      <c r="G22">
        <f>+C22-(C$7+F22*C$8)</f>
        <v>21.434999999997672</v>
      </c>
      <c r="H22">
        <f>+G22</f>
        <v>21.434999999997672</v>
      </c>
      <c r="O22">
        <f ca="1">+C$11+C$12*$F22</f>
        <v>22.410897725863308</v>
      </c>
      <c r="Q22" s="2">
        <f>+C22-15018.5</f>
        <v>40926.260999999999</v>
      </c>
      <c r="R22" t="str">
        <f>IF(ABS(C22-C21)&lt;0.00001,1,"")</f>
        <v/>
      </c>
    </row>
    <row r="23" spans="1:18" x14ac:dyDescent="0.2">
      <c r="A23" s="31" t="s">
        <v>45</v>
      </c>
      <c r="B23" s="36" t="s">
        <v>47</v>
      </c>
      <c r="C23" s="32">
        <v>55946.762000000002</v>
      </c>
      <c r="D23" s="32">
        <v>0.01</v>
      </c>
      <c r="E23">
        <f>+(C23-C$7)/C$8</f>
        <v>778.1159114857752</v>
      </c>
      <c r="F23" s="37">
        <f>ROUND(2*E23,0)/2-4</f>
        <v>774</v>
      </c>
      <c r="G23">
        <f>+C23-(C$7+F23*C$8)</f>
        <v>23.436000000001513</v>
      </c>
      <c r="H23">
        <f>+G23</f>
        <v>23.436000000001513</v>
      </c>
      <c r="O23">
        <f ca="1">+C$11+C$12*$F23</f>
        <v>22.410897725863308</v>
      </c>
      <c r="Q23" s="2">
        <f>+C23-15018.5</f>
        <v>40928.262000000002</v>
      </c>
    </row>
    <row r="24" spans="1:18" x14ac:dyDescent="0.2">
      <c r="A24" s="33" t="s">
        <v>48</v>
      </c>
      <c r="B24" s="34" t="s">
        <v>47</v>
      </c>
      <c r="C24" s="35">
        <v>56202.96</v>
      </c>
      <c r="D24" s="35">
        <v>1E-4</v>
      </c>
      <c r="E24">
        <f>+(C24-C$7)/C$8</f>
        <v>823.11029153494928</v>
      </c>
      <c r="F24" s="37">
        <f>ROUND(2*E24,0)/2-4</f>
        <v>819</v>
      </c>
      <c r="G24">
        <f>+C24-(C$7+F24*C$8)</f>
        <v>23.40400000000227</v>
      </c>
      <c r="H24">
        <f>+G24</f>
        <v>23.40400000000227</v>
      </c>
      <c r="O24">
        <f ca="1">+C$11+C$12*$F24</f>
        <v>23.686278724302799</v>
      </c>
      <c r="Q24" s="2">
        <f>+C24-15018.5</f>
        <v>41184.46</v>
      </c>
    </row>
    <row r="25" spans="1:18" x14ac:dyDescent="0.2">
      <c r="A25" s="33" t="s">
        <v>48</v>
      </c>
      <c r="B25" s="34" t="s">
        <v>46</v>
      </c>
      <c r="C25" s="35">
        <v>56257.837599999999</v>
      </c>
      <c r="D25" s="35">
        <v>8.0000000000000004E-4</v>
      </c>
      <c r="E25">
        <f>+(C25-C$7)/C$8</f>
        <v>832.74808570425023</v>
      </c>
      <c r="F25" s="37">
        <f>ROUND(2*E25,0)/2-4</f>
        <v>828.5</v>
      </c>
      <c r="G25">
        <f>+C25-(C$7+F25*C$8)</f>
        <v>24.188600000001315</v>
      </c>
      <c r="H25">
        <f>+G25</f>
        <v>24.188600000001315</v>
      </c>
      <c r="O25">
        <f ca="1">+C$11+C$12*$F25</f>
        <v>23.955525823973357</v>
      </c>
      <c r="Q25" s="2">
        <f>+C25-15018.5</f>
        <v>41239.337599999999</v>
      </c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A_old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2024-03-03T05:02:20Z</dcterms:modified>
</cp:coreProperties>
</file>