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628F72C-5F8D-4CE2-A57B-300768946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A (2)" sheetId="3" r:id="rId3"/>
  </sheets>
  <calcPr calcId="181029"/>
</workbook>
</file>

<file path=xl/calcChain.xml><?xml version="1.0" encoding="utf-8"?>
<calcChain xmlns="http://schemas.openxmlformats.org/spreadsheetml/2006/main">
  <c r="E70" i="1" l="1"/>
  <c r="F70" i="1" s="1"/>
  <c r="G70" i="1" s="1"/>
  <c r="K70" i="1" s="1"/>
  <c r="Q70" i="1"/>
  <c r="C7" i="1"/>
  <c r="C8" i="1"/>
  <c r="C9" i="1"/>
  <c r="D9" i="1"/>
  <c r="F16" i="1"/>
  <c r="F17" i="1" s="1"/>
  <c r="C17" i="1"/>
  <c r="E21" i="1"/>
  <c r="F21" i="1"/>
  <c r="Q21" i="1"/>
  <c r="Q22" i="1"/>
  <c r="E23" i="1"/>
  <c r="F23" i="1"/>
  <c r="Q23" i="1"/>
  <c r="E24" i="1"/>
  <c r="F24" i="1"/>
  <c r="Q24" i="1"/>
  <c r="Q25" i="1"/>
  <c r="Q26" i="1"/>
  <c r="Q27" i="1"/>
  <c r="E28" i="1"/>
  <c r="F28" i="1"/>
  <c r="Q28" i="1"/>
  <c r="Q29" i="1"/>
  <c r="Q30" i="1"/>
  <c r="Q31" i="1"/>
  <c r="E32" i="1"/>
  <c r="F32" i="1"/>
  <c r="Q32" i="1"/>
  <c r="Q33" i="1"/>
  <c r="E34" i="1"/>
  <c r="F34" i="1"/>
  <c r="Q34" i="1"/>
  <c r="Q35" i="1"/>
  <c r="E36" i="1"/>
  <c r="F36" i="1"/>
  <c r="G36" i="1"/>
  <c r="H36" i="1"/>
  <c r="Q36" i="1"/>
  <c r="Q37" i="1"/>
  <c r="E38" i="1"/>
  <c r="F38" i="1"/>
  <c r="Q38" i="1"/>
  <c r="E39" i="1"/>
  <c r="F39" i="1"/>
  <c r="G39" i="1"/>
  <c r="H39" i="1"/>
  <c r="Q39" i="1"/>
  <c r="E40" i="1"/>
  <c r="F40" i="1"/>
  <c r="G40" i="1"/>
  <c r="H40" i="1"/>
  <c r="Q40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J56" i="1"/>
  <c r="Q56" i="1"/>
  <c r="E57" i="1"/>
  <c r="F57" i="1"/>
  <c r="G57" i="1"/>
  <c r="K57" i="1"/>
  <c r="Q57" i="1"/>
  <c r="E58" i="1"/>
  <c r="F58" i="1"/>
  <c r="G58" i="1"/>
  <c r="J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K61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K64" i="1"/>
  <c r="Q64" i="1"/>
  <c r="E65" i="1"/>
  <c r="F65" i="1"/>
  <c r="G65" i="1"/>
  <c r="K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I68" i="1"/>
  <c r="Q68" i="1"/>
  <c r="E69" i="1"/>
  <c r="F69" i="1"/>
  <c r="G69" i="1"/>
  <c r="K69" i="1"/>
  <c r="Q69" i="1"/>
  <c r="C7" i="3"/>
  <c r="C8" i="3"/>
  <c r="C18" i="3"/>
  <c r="E21" i="3"/>
  <c r="F21" i="3"/>
  <c r="Q21" i="3"/>
  <c r="E22" i="3"/>
  <c r="F22" i="3"/>
  <c r="G22" i="3"/>
  <c r="I22" i="3"/>
  <c r="Q22" i="3"/>
  <c r="E23" i="3"/>
  <c r="F23" i="3"/>
  <c r="G23" i="3"/>
  <c r="J23" i="3"/>
  <c r="Q23" i="3"/>
  <c r="A11" i="2"/>
  <c r="B11" i="2"/>
  <c r="D11" i="2"/>
  <c r="G11" i="2"/>
  <c r="C11" i="2"/>
  <c r="E11" i="2"/>
  <c r="H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E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E18" i="2"/>
  <c r="D18" i="2"/>
  <c r="G18" i="2"/>
  <c r="H18" i="2"/>
  <c r="A19" i="2"/>
  <c r="B19" i="2"/>
  <c r="C19" i="2"/>
  <c r="D19" i="2"/>
  <c r="E19" i="2"/>
  <c r="G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B27" i="2"/>
  <c r="C27" i="2"/>
  <c r="D27" i="2"/>
  <c r="G27" i="2"/>
  <c r="H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C34" i="2"/>
  <c r="E34" i="2"/>
  <c r="D34" i="2"/>
  <c r="G34" i="2"/>
  <c r="H34" i="2"/>
  <c r="A35" i="2"/>
  <c r="B35" i="2"/>
  <c r="C35" i="2"/>
  <c r="D35" i="2"/>
  <c r="G35" i="2"/>
  <c r="H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A38" i="2"/>
  <c r="D38" i="2"/>
  <c r="G38" i="2"/>
  <c r="C38" i="2"/>
  <c r="E38" i="2"/>
  <c r="H38" i="2"/>
  <c r="B38" i="2"/>
  <c r="A39" i="2"/>
  <c r="D39" i="2"/>
  <c r="G39" i="2"/>
  <c r="C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B43" i="2"/>
  <c r="C43" i="2"/>
  <c r="D43" i="2"/>
  <c r="G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E50" i="2"/>
  <c r="D50" i="2"/>
  <c r="G50" i="2"/>
  <c r="H50" i="2"/>
  <c r="A51" i="2"/>
  <c r="B51" i="2"/>
  <c r="C51" i="2"/>
  <c r="D51" i="2"/>
  <c r="E51" i="2"/>
  <c r="G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E54" i="2"/>
  <c r="H54" i="2"/>
  <c r="B54" i="2"/>
  <c r="A55" i="2"/>
  <c r="D55" i="2"/>
  <c r="G55" i="2"/>
  <c r="C55" i="2"/>
  <c r="E55" i="2"/>
  <c r="H55" i="2"/>
  <c r="B55" i="2"/>
  <c r="A56" i="2"/>
  <c r="B56" i="2"/>
  <c r="C56" i="2"/>
  <c r="E56" i="2"/>
  <c r="D56" i="2"/>
  <c r="G56" i="2"/>
  <c r="H56" i="2"/>
  <c r="E39" i="2"/>
  <c r="E32" i="2"/>
  <c r="E28" i="2"/>
  <c r="G21" i="3"/>
  <c r="E31" i="2"/>
  <c r="G21" i="1"/>
  <c r="E41" i="1"/>
  <c r="G38" i="1"/>
  <c r="H38" i="1"/>
  <c r="E37" i="1"/>
  <c r="F37" i="1"/>
  <c r="G37" i="1"/>
  <c r="H37" i="1"/>
  <c r="G34" i="1"/>
  <c r="H34" i="1"/>
  <c r="E33" i="1"/>
  <c r="G30" i="1"/>
  <c r="H30" i="1"/>
  <c r="E29" i="1"/>
  <c r="F29" i="1"/>
  <c r="G29" i="1"/>
  <c r="H29" i="1"/>
  <c r="E25" i="1"/>
  <c r="G23" i="1"/>
  <c r="H23" i="1"/>
  <c r="E22" i="1"/>
  <c r="F22" i="1"/>
  <c r="G22" i="1"/>
  <c r="H22" i="1"/>
  <c r="E30" i="1"/>
  <c r="F30" i="1"/>
  <c r="E26" i="1"/>
  <c r="F26" i="1"/>
  <c r="G26" i="1"/>
  <c r="H26" i="1"/>
  <c r="E35" i="1"/>
  <c r="F35" i="1"/>
  <c r="G35" i="1"/>
  <c r="H35" i="1"/>
  <c r="G32" i="1"/>
  <c r="H32" i="1"/>
  <c r="E31" i="1"/>
  <c r="F31" i="1"/>
  <c r="G31" i="1"/>
  <c r="H31" i="1"/>
  <c r="G28" i="1"/>
  <c r="H28" i="1"/>
  <c r="E27" i="1"/>
  <c r="F27" i="1"/>
  <c r="G27" i="1"/>
  <c r="H27" i="1"/>
  <c r="G24" i="1"/>
  <c r="H24" i="1"/>
  <c r="E33" i="2"/>
  <c r="F33" i="1"/>
  <c r="G33" i="1"/>
  <c r="H33" i="1"/>
  <c r="E35" i="2"/>
  <c r="C12" i="3"/>
  <c r="C16" i="3"/>
  <c r="D18" i="3"/>
  <c r="C11" i="3"/>
  <c r="H21" i="3"/>
  <c r="E27" i="2"/>
  <c r="F25" i="1"/>
  <c r="G25" i="1"/>
  <c r="E43" i="2"/>
  <c r="F41" i="1"/>
  <c r="G41" i="1"/>
  <c r="H41" i="1"/>
  <c r="E37" i="2"/>
  <c r="H21" i="1"/>
  <c r="E29" i="2"/>
  <c r="E25" i="2"/>
  <c r="O21" i="3"/>
  <c r="O23" i="3"/>
  <c r="O22" i="3"/>
  <c r="H25" i="1"/>
  <c r="C12" i="1"/>
  <c r="C11" i="1"/>
  <c r="O70" i="1" l="1"/>
  <c r="C16" i="1"/>
  <c r="D18" i="1" s="1"/>
  <c r="O38" i="1"/>
  <c r="O66" i="1"/>
  <c r="O53" i="1"/>
  <c r="O32" i="1"/>
  <c r="O64" i="1"/>
  <c r="O47" i="1"/>
  <c r="O61" i="1"/>
  <c r="O63" i="1"/>
  <c r="O65" i="1"/>
  <c r="O67" i="1"/>
  <c r="O39" i="1"/>
  <c r="O43" i="1"/>
  <c r="O42" i="1"/>
  <c r="O25" i="1"/>
  <c r="O57" i="1"/>
  <c r="O36" i="1"/>
  <c r="O68" i="1"/>
  <c r="O51" i="1"/>
  <c r="O33" i="1"/>
  <c r="O28" i="1"/>
  <c r="O46" i="1"/>
  <c r="O29" i="1"/>
  <c r="O21" i="1"/>
  <c r="O40" i="1"/>
  <c r="O59" i="1"/>
  <c r="O55" i="1"/>
  <c r="O44" i="1"/>
  <c r="O27" i="1"/>
  <c r="O37" i="1"/>
  <c r="O31" i="1"/>
  <c r="O34" i="1"/>
  <c r="O50" i="1"/>
  <c r="O48" i="1"/>
  <c r="O54" i="1"/>
  <c r="O49" i="1"/>
  <c r="O26" i="1"/>
  <c r="O58" i="1"/>
  <c r="O41" i="1"/>
  <c r="O69" i="1"/>
  <c r="O52" i="1"/>
  <c r="O35" i="1"/>
  <c r="C15" i="1"/>
  <c r="O22" i="1"/>
  <c r="O24" i="1"/>
  <c r="O62" i="1"/>
  <c r="O30" i="1"/>
  <c r="O45" i="1"/>
  <c r="O56" i="1"/>
  <c r="O60" i="1"/>
  <c r="C18" i="1" l="1"/>
  <c r="F18" i="1"/>
  <c r="F19" i="1" s="1"/>
</calcChain>
</file>

<file path=xl/sharedStrings.xml><?xml version="1.0" encoding="utf-8"?>
<sst xmlns="http://schemas.openxmlformats.org/spreadsheetml/2006/main" count="540" uniqueCount="255">
  <si>
    <t>NZ Per / GSC 02879-00341</t>
  </si>
  <si>
    <t>System Type:</t>
  </si>
  <si>
    <t>EA/D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</si>
  <si>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</si>
  <si>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</si>
  <si>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</si>
  <si>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</si>
  <si>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</si>
  <si>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</si>
  <si>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</si>
  <si>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</si>
  <si>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</si>
  <si>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</si>
  <si>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</si>
  <si>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</si>
  <si>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</si>
  <si>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</si>
  <si>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</si>
  <si>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</si>
  <si>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</si>
  <si>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</si>
  <si>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</si>
  <si>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</si>
  <si>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</si>
  <si>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</si>
  <si>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</si>
  <si>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</si>
  <si>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</si>
  <si>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</si>
  <si>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</si>
  <si>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</si>
  <si>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</si>
  <si>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</si>
  <si>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</si>
  <si>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</si>
  <si>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</si>
  <si>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</si>
  <si>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</si>
  <si>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</si>
  <si>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</si>
  <si>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</si>
  <si>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</si>
  <si>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BAD?</t>
  </si>
  <si>
    <t> MVS 410 </t>
  </si>
  <si>
    <t>I</t>
  </si>
  <si>
    <t>GCVS 4</t>
  </si>
  <si>
    <t>BAVM 79 </t>
  </si>
  <si>
    <t>BBSAG Bull.117</t>
  </si>
  <si>
    <t> BBS 126 </t>
  </si>
  <si>
    <t>IBVS 5643</t>
  </si>
  <si>
    <t>IBVS 5493</t>
  </si>
  <si>
    <t>Blaettler E</t>
  </si>
  <si>
    <t>B</t>
  </si>
  <si>
    <t>IBVS 5657</t>
  </si>
  <si>
    <t>IBVS 5802</t>
  </si>
  <si>
    <t>IBVS 5874</t>
  </si>
  <si>
    <t>IBVS 5871</t>
  </si>
  <si>
    <t>IBVS 5938</t>
  </si>
  <si>
    <t>IBVS 5945</t>
  </si>
  <si>
    <t>IBVS 5992</t>
  </si>
  <si>
    <t>IBVS 6063</t>
  </si>
  <si>
    <t>IBVS 6084</t>
  </si>
  <si>
    <t>IBVS 6157</t>
  </si>
  <si>
    <t>VSB-66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</si>
  <si>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</si>
  <si>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</si>
  <si>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</si>
  <si>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</si>
  <si>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</si>
  <si>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</si>
  <si>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</si>
  <si>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</si>
  <si>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2450850.302 </t>
  </si>
  <si>
    <t> 05.02.1998 19:14 </t>
  </si>
  <si>
    <t> 0.039 </t>
  </si>
  <si>
    <t>E </t>
  </si>
  <si>
    <t>?</t>
  </si>
  <si>
    <t> E.Blättler </t>
  </si>
  <si>
    <t> BBS 117 </t>
  </si>
  <si>
    <t>2452931.5399 </t>
  </si>
  <si>
    <t> 19.10.2003 00:57 </t>
  </si>
  <si>
    <t> 0.0349 </t>
  </si>
  <si>
    <t>-I</t>
  </si>
  <si>
    <t> K. &amp; M. Rätz </t>
  </si>
  <si>
    <t>BAVM 172 </t>
  </si>
  <si>
    <t>2452973.744 </t>
  </si>
  <si>
    <t> 30.11.2003 05:51 </t>
  </si>
  <si>
    <t>26363</t>
  </si>
  <si>
    <t> 0.033 </t>
  </si>
  <si>
    <t> R.Nelson </t>
  </si>
  <si>
    <t>IBVS 5493 </t>
  </si>
  <si>
    <t>2453447.4032 </t>
  </si>
  <si>
    <t> 17.03.2005 21:40 </t>
  </si>
  <si>
    <t>26868</t>
  </si>
  <si>
    <t> 0.0429 </t>
  </si>
  <si>
    <t>o</t>
  </si>
  <si>
    <t> U.Schmidt </t>
  </si>
  <si>
    <t>BAVM 173 </t>
  </si>
  <si>
    <t>2453751.2817 </t>
  </si>
  <si>
    <t> 15.01.2006 18:45 </t>
  </si>
  <si>
    <t>27192</t>
  </si>
  <si>
    <t> 0.0357 </t>
  </si>
  <si>
    <t>C </t>
  </si>
  <si>
    <t> K.&amp; M.Rätz </t>
  </si>
  <si>
    <t>BAVM 186 </t>
  </si>
  <si>
    <t>2454173.3530 </t>
  </si>
  <si>
    <t> 13.03.2007 20:28 </t>
  </si>
  <si>
    <t>27642</t>
  </si>
  <si>
    <t> 0.0435 </t>
  </si>
  <si>
    <t> M.&amp; C.Rätz </t>
  </si>
  <si>
    <t>BAVM 201 </t>
  </si>
  <si>
    <t>2454832.7045 </t>
  </si>
  <si>
    <t> 01.01.2009 04:54 </t>
  </si>
  <si>
    <t>28345</t>
  </si>
  <si>
    <t> 0.0381 </t>
  </si>
  <si>
    <t> R.Diethelm </t>
  </si>
  <si>
    <t>IBVS 5871 </t>
  </si>
  <si>
    <t>2454849.5927 </t>
  </si>
  <si>
    <t> 18.01.2009 02:13 </t>
  </si>
  <si>
    <t>28363</t>
  </si>
  <si>
    <t> 0.0438 </t>
  </si>
  <si>
    <t> S.Dvorak </t>
  </si>
  <si>
    <t>IBVS 5938 </t>
  </si>
  <si>
    <t>2455240.7018 </t>
  </si>
  <si>
    <t> 13.02.2010 04:50 </t>
  </si>
  <si>
    <t>28780</t>
  </si>
  <si>
    <t> 0.0407 </t>
  </si>
  <si>
    <t>IBVS 5945 </t>
  </si>
  <si>
    <t>2455572.7234 </t>
  </si>
  <si>
    <t> 11.01.2011 05:21 </t>
  </si>
  <si>
    <t>29134</t>
  </si>
  <si>
    <t> 0.0391 </t>
  </si>
  <si>
    <t>IBVS 5992 </t>
  </si>
  <si>
    <t>2456298.6703 </t>
  </si>
  <si>
    <t> 06.01.2013 04:05 </t>
  </si>
  <si>
    <t>29908</t>
  </si>
  <si>
    <t> 0.0368 </t>
  </si>
  <si>
    <t>IBVS 6063 </t>
  </si>
  <si>
    <t>2456334.3109 </t>
  </si>
  <si>
    <t> 10.02.2013 19:27 </t>
  </si>
  <si>
    <t>29946</t>
  </si>
  <si>
    <t> 0.0365 </t>
  </si>
  <si>
    <t> F.Agerer </t>
  </si>
  <si>
    <t>BAVM 232 </t>
  </si>
  <si>
    <t>2456935.5168 </t>
  </si>
  <si>
    <t> 05.10.2014 00:24 </t>
  </si>
  <si>
    <t>30587</t>
  </si>
  <si>
    <t> M.&amp; K.Rätz </t>
  </si>
  <si>
    <t>BAVM 241 (=IBVS 6157) </t>
  </si>
  <si>
    <t>2427699.584 </t>
  </si>
  <si>
    <t> 19.09.1934 02:00 </t>
  </si>
  <si>
    <t> -0.029 </t>
  </si>
  <si>
    <t>P </t>
  </si>
  <si>
    <t> G.Richter </t>
  </si>
  <si>
    <t>2428247.328 </t>
  </si>
  <si>
    <t> 19.03.1936 19:52 </t>
  </si>
  <si>
    <t> -0.030 </t>
  </si>
  <si>
    <t>2428247.383 </t>
  </si>
  <si>
    <t> 19.03.1936 21:11 </t>
  </si>
  <si>
    <t> 0.025 </t>
  </si>
  <si>
    <t>2428248.324 </t>
  </si>
  <si>
    <t> 20.03.1936 19:46 </t>
  </si>
  <si>
    <t> 0.028 </t>
  </si>
  <si>
    <t>2428425.523 </t>
  </si>
  <si>
    <t> 14.09.1936 00:33 </t>
  </si>
  <si>
    <t> -0.040 </t>
  </si>
  <si>
    <t>2428834.487 </t>
  </si>
  <si>
    <t> 27.10.1937 23:41 </t>
  </si>
  <si>
    <t> -0.008 </t>
  </si>
  <si>
    <t>2428835.410 </t>
  </si>
  <si>
    <t> 28.10.1937 21:50 </t>
  </si>
  <si>
    <t> -0.023 </t>
  </si>
  <si>
    <t>2428836.406 </t>
  </si>
  <si>
    <t> 29.10.1937 21:44 </t>
  </si>
  <si>
    <t> 0.035 </t>
  </si>
  <si>
    <t>2428849.511 </t>
  </si>
  <si>
    <t> 12.11.1937 00:15 </t>
  </si>
  <si>
    <t> 0.009 </t>
  </si>
  <si>
    <t>2428865.424 </t>
  </si>
  <si>
    <t> 27.11.1937 22:10 </t>
  </si>
  <si>
    <t> -0.022 </t>
  </si>
  <si>
    <t>2428879.521 </t>
  </si>
  <si>
    <t> 12.12.1937 00:30 </t>
  </si>
  <si>
    <t> 0.006 </t>
  </si>
  <si>
    <t>2429165.555 </t>
  </si>
  <si>
    <t> 24.09.1938 01:19 </t>
  </si>
  <si>
    <t> -0.026 </t>
  </si>
  <si>
    <t>2429229.330 </t>
  </si>
  <si>
    <t> 26.11.1938 19:55 </t>
  </si>
  <si>
    <t>2429497.582 </t>
  </si>
  <si>
    <t> 22.08.1939 01:58 </t>
  </si>
  <si>
    <t>2429498.554 </t>
  </si>
  <si>
    <t> 23.08.1939 01:17 </t>
  </si>
  <si>
    <t> 0.012 </t>
  </si>
  <si>
    <t>2429575.446 </t>
  </si>
  <si>
    <t> 07.11.1939 22:42 </t>
  </si>
  <si>
    <t> -0.005 </t>
  </si>
  <si>
    <t>2429576.374 </t>
  </si>
  <si>
    <t> 08.11.1939 20:58 </t>
  </si>
  <si>
    <t> -0.015 </t>
  </si>
  <si>
    <t>2429588.610 </t>
  </si>
  <si>
    <t> 21.11.1939 02:38 </t>
  </si>
  <si>
    <t>2429617.677 </t>
  </si>
  <si>
    <t> 20.12.1939 04:14 </t>
  </si>
  <si>
    <t> 0.020 </t>
  </si>
  <si>
    <t>2429696.441 </t>
  </si>
  <si>
    <t> 07.03.1940 22:35 </t>
  </si>
  <si>
    <t> -0.002 </t>
  </si>
  <si>
    <t>2429728.333 </t>
  </si>
  <si>
    <t> 08.04.1940 19:59 </t>
  </si>
  <si>
    <t> 0.001 </t>
  </si>
  <si>
    <t>2429955.299 </t>
  </si>
  <si>
    <t> 21.11.1940 19:10 </t>
  </si>
  <si>
    <t> -0.009 </t>
  </si>
  <si>
    <t>2429984.356 </t>
  </si>
  <si>
    <t> 20.12.1940 20:32 </t>
  </si>
  <si>
    <t> -0.028 </t>
  </si>
  <si>
    <t>2429984.384 </t>
  </si>
  <si>
    <t> 20.12.1940 21:12 </t>
  </si>
  <si>
    <t> 0.000 </t>
  </si>
  <si>
    <t>2432884.467 </t>
  </si>
  <si>
    <t> 28.11.1948 23:12 </t>
  </si>
  <si>
    <t> 0.038 </t>
  </si>
  <si>
    <t>2433246.476 </t>
  </si>
  <si>
    <t> 25.11.1949 23:25 </t>
  </si>
  <si>
    <t> 0.011 </t>
  </si>
  <si>
    <t>2434682.426 </t>
  </si>
  <si>
    <t> 31.10.1953 22:13 </t>
  </si>
  <si>
    <t> 0.007 </t>
  </si>
  <si>
    <t>2435845.424 </t>
  </si>
  <si>
    <t> 06.01.1957 22:10 </t>
  </si>
  <si>
    <t> -0.014 </t>
  </si>
  <si>
    <t>2435892.310 </t>
  </si>
  <si>
    <t> 22.02.1957 19:26 </t>
  </si>
  <si>
    <t> -0.024 </t>
  </si>
  <si>
    <t>2435893.297 </t>
  </si>
  <si>
    <t> 23.02.1957 19:07 </t>
  </si>
  <si>
    <t>2436144.628 </t>
  </si>
  <si>
    <t> 02.11.1957 03:04 </t>
  </si>
  <si>
    <t> -0.006 </t>
  </si>
  <si>
    <t>2448520.502 </t>
  </si>
  <si>
    <t> 21.09.1991 00:02 </t>
  </si>
  <si>
    <t> 0.029 </t>
  </si>
  <si>
    <t>F </t>
  </si>
  <si>
    <t> Moschner&amp;Kleikamp </t>
  </si>
  <si>
    <t>2452193.388 </t>
  </si>
  <si>
    <t> 10.10.2001 21:18 </t>
  </si>
  <si>
    <t>NZ Per</t>
  </si>
  <si>
    <t>EA</t>
  </si>
  <si>
    <t>Sum diff² =</t>
  </si>
  <si>
    <t>BBSAG</t>
  </si>
  <si>
    <t>S2</t>
  </si>
  <si>
    <t>S3</t>
  </si>
  <si>
    <t>RHN 2003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</si>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</sst>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0.0000"/>
    <numFmt numFmtId="168" formatCode="dd/mm/yyyy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7" fontId="0" fillId="0" borderId="0" xfId="0" applyNumberFormat="1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168" fontId="0" fillId="0" borderId="0" xfId="0" applyNumberFormat="1" applyAlignment="1"/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9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Per - O-C Diagr.</a:t>
            </a:r>
          </a:p>
        </c:rich>
      </c:tx>
      <c:layout>
        <c:manualLayout>
          <c:xMode val="edge"/>
          <c:yMode val="edge"/>
          <c:x val="0.36602488611865724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987698072763"/>
          <c:y val="0.14055082049058462"/>
          <c:w val="0.8044599864659242"/>
          <c:h val="0.637574132785364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Active!$H$21:$H$69</c:f>
              <c:numCache>
                <c:formatCode>General</c:formatCode>
                <c:ptCount val="49"/>
                <c:pt idx="0">
                  <c:v>-2.942080000138958E-2</c:v>
                </c:pt>
                <c:pt idx="1">
                  <c:v>-2.9999999998835847E-2</c:v>
                </c:pt>
                <c:pt idx="2">
                  <c:v>0</c:v>
                </c:pt>
                <c:pt idx="3">
                  <c:v>2.5000000001455192E-2</c:v>
                </c:pt>
                <c:pt idx="4">
                  <c:v>2.8081200001906836E-2</c:v>
                </c:pt>
                <c:pt idx="5">
                  <c:v>-3.9571999997860985E-2</c:v>
                </c:pt>
                <c:pt idx="6">
                  <c:v>-8.1687999991117977E-3</c:v>
                </c:pt>
                <c:pt idx="7">
                  <c:v>-2.3087599998689257E-2</c:v>
                </c:pt>
                <c:pt idx="8">
                  <c:v>3.4993599998415448E-2</c:v>
                </c:pt>
                <c:pt idx="9">
                  <c:v>9.1303999979572836E-3</c:v>
                </c:pt>
                <c:pt idx="10">
                  <c:v>-2.2489200000563869E-2</c:v>
                </c:pt>
                <c:pt idx="11">
                  <c:v>5.7287999989057425E-3</c:v>
                </c:pt>
                <c:pt idx="12">
                  <c:v>-2.5505199999315664E-2</c:v>
                </c:pt>
                <c:pt idx="13">
                  <c:v>-2.8983599997445708E-2</c:v>
                </c:pt>
                <c:pt idx="14">
                  <c:v>-2.1760400002676761E-2</c:v>
                </c:pt>
                <c:pt idx="15">
                  <c:v>1.2320800000452437E-2</c:v>
                </c:pt>
                <c:pt idx="16">
                  <c:v>-5.0207999993290287E-3</c:v>
                </c:pt>
                <c:pt idx="17">
                  <c:v>-1.4939600001525832E-2</c:v>
                </c:pt>
                <c:pt idx="18">
                  <c:v>2.8116000001318753E-2</c:v>
                </c:pt>
                <c:pt idx="19">
                  <c:v>1.9633199997770134E-2</c:v>
                </c:pt>
                <c:pt idx="20">
                  <c:v>-1.5459999995073304E-3</c:v>
                </c:pt>
                <c:pt idx="21">
                  <c:v>1.2147999987064395E-3</c:v>
                </c:pt>
                <c:pt idx="22">
                  <c:v>-9.134800002357224E-3</c:v>
                </c:pt>
                <c:pt idx="23">
                  <c:v>-2.7617600000667153E-2</c:v>
                </c:pt>
                <c:pt idx="24">
                  <c:v>3.8239999776124023E-4</c:v>
                </c:pt>
                <c:pt idx="25">
                  <c:v>3.845279999950435E-2</c:v>
                </c:pt>
                <c:pt idx="26">
                  <c:v>1.0796000002301298E-2</c:v>
                </c:pt>
                <c:pt idx="27">
                  <c:v>7.1132000011857599E-3</c:v>
                </c:pt>
                <c:pt idx="28">
                  <c:v>-1.4198800003214274E-2</c:v>
                </c:pt>
                <c:pt idx="29">
                  <c:v>-2.4138799999491312E-2</c:v>
                </c:pt>
                <c:pt idx="30">
                  <c:v>2.494239999941783E-2</c:v>
                </c:pt>
                <c:pt idx="31">
                  <c:v>-6.2960000068414956E-3</c:v>
                </c:pt>
                <c:pt idx="32">
                  <c:v>2.913799999805633E-2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5-451E-9817-94FC7E4652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Active!$I$21:$I$69</c:f>
              <c:numCache>
                <c:formatCode>General</c:formatCode>
                <c:ptCount val="49"/>
                <c:pt idx="33">
                  <c:v>3.8838800006487872E-2</c:v>
                </c:pt>
                <c:pt idx="34">
                  <c:v>2.5117199998931028E-2</c:v>
                </c:pt>
                <c:pt idx="47">
                  <c:v>4.9447600133134983E-2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85-451E-9817-94FC7E465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Active!$F$21:$F$609</c:f>
              <c:numCache>
                <c:formatCode>General</c:formatCode>
                <c:ptCount val="58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  <c:pt idx="49">
                  <c:v>33436</c:v>
                </c:pt>
              </c:numCache>
            </c:numRef>
          </c:xVal>
          <c:yVal>
            <c:numRef>
              <c:f>Active!$J$21:$J$609</c:f>
              <c:numCache>
                <c:formatCode>General</c:formatCode>
                <c:ptCount val="589"/>
                <c:pt idx="35">
                  <c:v>3.4921600003144704E-2</c:v>
                </c:pt>
                <c:pt idx="37">
                  <c:v>4.2881599998509046E-2</c:v>
                </c:pt>
                <c:pt idx="38">
                  <c:v>3.5690400000021327E-2</c:v>
                </c:pt>
                <c:pt idx="39">
                  <c:v>4.3530399998417124E-2</c:v>
                </c:pt>
                <c:pt idx="45">
                  <c:v>3.651519999402808E-2</c:v>
                </c:pt>
                <c:pt idx="46">
                  <c:v>3.6464399992837571E-2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85-451E-9817-94FC7E465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  <c:pt idx="49">
                  <c:v>33436</c:v>
                </c:pt>
              </c:numCache>
            </c:numRef>
          </c:xVal>
          <c:yVal>
            <c:numRef>
              <c:f>Active!$K$21:$K$680</c:f>
              <c:numCache>
                <c:formatCode>General</c:formatCode>
                <c:ptCount val="660"/>
                <c:pt idx="36">
                  <c:v>3.267559999221703E-2</c:v>
                </c:pt>
                <c:pt idx="40">
                  <c:v>3.8114000002678949E-2</c:v>
                </c:pt>
                <c:pt idx="41">
                  <c:v>4.3775599995569792E-2</c:v>
                </c:pt>
                <c:pt idx="42">
                  <c:v>4.0736000002652872E-2</c:v>
                </c:pt>
                <c:pt idx="43">
                  <c:v>3.9080800001102034E-2</c:v>
                </c:pt>
                <c:pt idx="44">
                  <c:v>3.6829599994234741E-2</c:v>
                </c:pt>
                <c:pt idx="48">
                  <c:v>4.8613199862302281E-2</c:v>
                </c:pt>
                <c:pt idx="49">
                  <c:v>4.2003199996543117E-2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85-451E-9817-94FC7E465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Active!$L$21:$L$69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85-451E-9817-94FC7E465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Active!$M$21:$M$69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85-451E-9817-94FC7E465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Active!$N$21:$N$69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85-451E-9817-94FC7E465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Active!$O$21:$O$69</c:f>
              <c:numCache>
                <c:formatCode>General</c:formatCode>
                <c:ptCount val="49"/>
                <c:pt idx="0">
                  <c:v>-6.9635331527174715E-3</c:v>
                </c:pt>
                <c:pt idx="1">
                  <c:v>-6.0469017902319028E-3</c:v>
                </c:pt>
                <c:pt idx="3">
                  <c:v>-6.0469017902319028E-3</c:v>
                </c:pt>
                <c:pt idx="4">
                  <c:v>-6.0453322159810712E-3</c:v>
                </c:pt>
                <c:pt idx="5">
                  <c:v>-5.7486826825739268E-3</c:v>
                </c:pt>
                <c:pt idx="6">
                  <c:v>-5.0643483092114132E-3</c:v>
                </c:pt>
                <c:pt idx="7">
                  <c:v>-5.0627787349605815E-3</c:v>
                </c:pt>
                <c:pt idx="8">
                  <c:v>-5.0612091607097499E-3</c:v>
                </c:pt>
                <c:pt idx="9">
                  <c:v>-5.0392351211981101E-3</c:v>
                </c:pt>
                <c:pt idx="10">
                  <c:v>-5.0125523589339754E-3</c:v>
                </c:pt>
                <c:pt idx="11">
                  <c:v>-4.989008745171504E-3</c:v>
                </c:pt>
                <c:pt idx="12">
                  <c:v>-4.5102885986679098E-3</c:v>
                </c:pt>
                <c:pt idx="13">
                  <c:v>-4.4035575496113718E-3</c:v>
                </c:pt>
                <c:pt idx="14">
                  <c:v>-3.9546593138735757E-3</c:v>
                </c:pt>
                <c:pt idx="15">
                  <c:v>-3.9530897396227449E-3</c:v>
                </c:pt>
                <c:pt idx="16">
                  <c:v>-3.8243846510545654E-3</c:v>
                </c:pt>
                <c:pt idx="17">
                  <c:v>-3.8228150768037338E-3</c:v>
                </c:pt>
                <c:pt idx="18">
                  <c:v>-3.8024106115429252E-3</c:v>
                </c:pt>
                <c:pt idx="19">
                  <c:v>-3.7537538097671499E-3</c:v>
                </c:pt>
                <c:pt idx="20">
                  <c:v>-3.621909572697308E-3</c:v>
                </c:pt>
                <c:pt idx="21">
                  <c:v>-3.5685440481690385E-3</c:v>
                </c:pt>
                <c:pt idx="22">
                  <c:v>-3.1887070794678271E-3</c:v>
                </c:pt>
                <c:pt idx="23">
                  <c:v>-3.1400502776920518E-3</c:v>
                </c:pt>
                <c:pt idx="24">
                  <c:v>-3.1400502776920518E-3</c:v>
                </c:pt>
                <c:pt idx="25">
                  <c:v>1.7130733058788004E-3</c:v>
                </c:pt>
                <c:pt idx="26">
                  <c:v>2.3189289666997424E-3</c:v>
                </c:pt>
                <c:pt idx="27">
                  <c:v>4.7219471447226963E-3</c:v>
                </c:pt>
                <c:pt idx="28">
                  <c:v>6.6682192157536974E-3</c:v>
                </c:pt>
                <c:pt idx="29">
                  <c:v>6.7466979282952699E-3</c:v>
                </c:pt>
                <c:pt idx="30">
                  <c:v>6.7482675025461025E-3</c:v>
                </c:pt>
                <c:pt idx="31">
                  <c:v>7.1689134017689313E-3</c:v>
                </c:pt>
                <c:pt idx="32">
                  <c:v>2.7879445641489954E-2</c:v>
                </c:pt>
                <c:pt idx="33">
                  <c:v>3.1778268080555283E-2</c:v>
                </c:pt>
                <c:pt idx="34">
                  <c:v>3.4025898407745926E-2</c:v>
                </c:pt>
                <c:pt idx="35">
                  <c:v>3.5261153343150275E-2</c:v>
                </c:pt>
                <c:pt idx="36">
                  <c:v>3.5331784184437692E-2</c:v>
                </c:pt>
                <c:pt idx="37">
                  <c:v>3.6124419181107578E-2</c:v>
                </c:pt>
                <c:pt idx="38">
                  <c:v>3.663296123837697E-2</c:v>
                </c:pt>
                <c:pt idx="39">
                  <c:v>3.7339269651251124E-2</c:v>
                </c:pt>
                <c:pt idx="40">
                  <c:v>3.8442680349585631E-2</c:v>
                </c:pt>
                <c:pt idx="41">
                  <c:v>3.8470932686100599E-2</c:v>
                </c:pt>
                <c:pt idx="42">
                  <c:v>3.9125445148697313E-2</c:v>
                </c:pt>
                <c:pt idx="43">
                  <c:v>3.9681074433491649E-2</c:v>
                </c:pt>
                <c:pt idx="44">
                  <c:v>4.0895924903635195E-2</c:v>
                </c:pt>
                <c:pt idx="45">
                  <c:v>4.0955568725166792E-2</c:v>
                </c:pt>
                <c:pt idx="46">
                  <c:v>4.1961665819949749E-2</c:v>
                </c:pt>
                <c:pt idx="47">
                  <c:v>4.4451010581768438E-2</c:v>
                </c:pt>
                <c:pt idx="48">
                  <c:v>4.3333473715176443E-2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85-451E-9817-94FC7E4652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Active!$U$21:$U$69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85-451E-9817-94FC7E465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12880"/>
        <c:axId val="1"/>
      </c:scatterChart>
      <c:valAx>
        <c:axId val="66061288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404728086747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541312179494706E-2"/>
              <c:y val="0.39085716774568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12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08424691221829"/>
          <c:y val="0.93541666666666667"/>
          <c:w val="0.8266207004334615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Per - O-C Diagr.</a:t>
            </a:r>
          </a:p>
        </c:rich>
      </c:tx>
      <c:layout>
        <c:manualLayout>
          <c:xMode val="edge"/>
          <c:yMode val="edge"/>
          <c:x val="0.36363636363636365"/>
          <c:y val="4.3613707165109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183164881347"/>
          <c:y val="0.123649914131104"/>
          <c:w val="0.81253763515897304"/>
          <c:h val="0.655168659473121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Active!$F$21:$F$690</c:f>
              <c:numCache>
                <c:formatCode>General</c:formatCode>
                <c:ptCount val="670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  <c:pt idx="49">
                  <c:v>33436</c:v>
                </c:pt>
              </c:numCache>
            </c:numRef>
          </c:xVal>
          <c:yVal>
            <c:numRef>
              <c:f>Active!$H$21:$H$690</c:f>
              <c:numCache>
                <c:formatCode>General</c:formatCode>
                <c:ptCount val="670"/>
                <c:pt idx="0">
                  <c:v>-2.942080000138958E-2</c:v>
                </c:pt>
                <c:pt idx="1">
                  <c:v>-2.9999999998835847E-2</c:v>
                </c:pt>
                <c:pt idx="2">
                  <c:v>0</c:v>
                </c:pt>
                <c:pt idx="3">
                  <c:v>2.5000000001455192E-2</c:v>
                </c:pt>
                <c:pt idx="4">
                  <c:v>2.8081200001906836E-2</c:v>
                </c:pt>
                <c:pt idx="5">
                  <c:v>-3.9571999997860985E-2</c:v>
                </c:pt>
                <c:pt idx="6">
                  <c:v>-8.1687999991117977E-3</c:v>
                </c:pt>
                <c:pt idx="7">
                  <c:v>-2.3087599998689257E-2</c:v>
                </c:pt>
                <c:pt idx="8">
                  <c:v>3.4993599998415448E-2</c:v>
                </c:pt>
                <c:pt idx="9">
                  <c:v>9.1303999979572836E-3</c:v>
                </c:pt>
                <c:pt idx="10">
                  <c:v>-2.2489200000563869E-2</c:v>
                </c:pt>
                <c:pt idx="11">
                  <c:v>5.7287999989057425E-3</c:v>
                </c:pt>
                <c:pt idx="12">
                  <c:v>-2.5505199999315664E-2</c:v>
                </c:pt>
                <c:pt idx="13">
                  <c:v>-2.8983599997445708E-2</c:v>
                </c:pt>
                <c:pt idx="14">
                  <c:v>-2.1760400002676761E-2</c:v>
                </c:pt>
                <c:pt idx="15">
                  <c:v>1.2320800000452437E-2</c:v>
                </c:pt>
                <c:pt idx="16">
                  <c:v>-5.0207999993290287E-3</c:v>
                </c:pt>
                <c:pt idx="17">
                  <c:v>-1.4939600001525832E-2</c:v>
                </c:pt>
                <c:pt idx="18">
                  <c:v>2.8116000001318753E-2</c:v>
                </c:pt>
                <c:pt idx="19">
                  <c:v>1.9633199997770134E-2</c:v>
                </c:pt>
                <c:pt idx="20">
                  <c:v>-1.5459999995073304E-3</c:v>
                </c:pt>
                <c:pt idx="21">
                  <c:v>1.2147999987064395E-3</c:v>
                </c:pt>
                <c:pt idx="22">
                  <c:v>-9.134800002357224E-3</c:v>
                </c:pt>
                <c:pt idx="23">
                  <c:v>-2.7617600000667153E-2</c:v>
                </c:pt>
                <c:pt idx="24">
                  <c:v>3.8239999776124023E-4</c:v>
                </c:pt>
                <c:pt idx="25">
                  <c:v>3.845279999950435E-2</c:v>
                </c:pt>
                <c:pt idx="26">
                  <c:v>1.0796000002301298E-2</c:v>
                </c:pt>
                <c:pt idx="27">
                  <c:v>7.1132000011857599E-3</c:v>
                </c:pt>
                <c:pt idx="28">
                  <c:v>-1.4198800003214274E-2</c:v>
                </c:pt>
                <c:pt idx="29">
                  <c:v>-2.4138799999491312E-2</c:v>
                </c:pt>
                <c:pt idx="30">
                  <c:v>2.494239999941783E-2</c:v>
                </c:pt>
                <c:pt idx="31">
                  <c:v>-6.2960000068414956E-3</c:v>
                </c:pt>
                <c:pt idx="32">
                  <c:v>2.913799999805633E-2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CC-4596-9D18-3C1023D739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Active!$I$21:$I$69</c:f>
              <c:numCache>
                <c:formatCode>General</c:formatCode>
                <c:ptCount val="49"/>
                <c:pt idx="33">
                  <c:v>3.8838800006487872E-2</c:v>
                </c:pt>
                <c:pt idx="34">
                  <c:v>2.5117199998931028E-2</c:v>
                </c:pt>
                <c:pt idx="47">
                  <c:v>4.9447600133134983E-2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CC-4596-9D18-3C1023D739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Active!$F$21:$F$690</c:f>
              <c:numCache>
                <c:formatCode>General</c:formatCode>
                <c:ptCount val="670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  <c:pt idx="49">
                  <c:v>33436</c:v>
                </c:pt>
              </c:numCache>
            </c:numRef>
          </c:xVal>
          <c:yVal>
            <c:numRef>
              <c:f>Active!$J$21:$J$690</c:f>
              <c:numCache>
                <c:formatCode>General</c:formatCode>
                <c:ptCount val="670"/>
                <c:pt idx="35">
                  <c:v>3.4921600003144704E-2</c:v>
                </c:pt>
                <c:pt idx="37">
                  <c:v>4.2881599998509046E-2</c:v>
                </c:pt>
                <c:pt idx="38">
                  <c:v>3.5690400000021327E-2</c:v>
                </c:pt>
                <c:pt idx="39">
                  <c:v>4.3530399998417124E-2</c:v>
                </c:pt>
                <c:pt idx="45">
                  <c:v>3.651519999402808E-2</c:v>
                </c:pt>
                <c:pt idx="46">
                  <c:v>3.6464399992837571E-2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CC-4596-9D18-3C1023D739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  <c:pt idx="49">
                  <c:v>33436</c:v>
                </c:pt>
              </c:numCache>
            </c:numRef>
          </c:xVal>
          <c:yVal>
            <c:numRef>
              <c:f>Active!$K$21:$K$680</c:f>
              <c:numCache>
                <c:formatCode>General</c:formatCode>
                <c:ptCount val="660"/>
                <c:pt idx="36">
                  <c:v>3.267559999221703E-2</c:v>
                </c:pt>
                <c:pt idx="40">
                  <c:v>3.8114000002678949E-2</c:v>
                </c:pt>
                <c:pt idx="41">
                  <c:v>4.3775599995569792E-2</c:v>
                </c:pt>
                <c:pt idx="42">
                  <c:v>4.0736000002652872E-2</c:v>
                </c:pt>
                <c:pt idx="43">
                  <c:v>3.9080800001102034E-2</c:v>
                </c:pt>
                <c:pt idx="44">
                  <c:v>3.6829599994234741E-2</c:v>
                </c:pt>
                <c:pt idx="48">
                  <c:v>4.8613199862302281E-2</c:v>
                </c:pt>
                <c:pt idx="49">
                  <c:v>4.2003199996543117E-2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CC-4596-9D18-3C1023D739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Active!$L$21:$L$69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CC-4596-9D18-3C1023D739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Active!$M$21:$M$69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CC-4596-9D18-3C1023D739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Active!$N$21:$N$69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CC-4596-9D18-3C1023D739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Active!$O$21:$O$69</c:f>
              <c:numCache>
                <c:formatCode>General</c:formatCode>
                <c:ptCount val="49"/>
                <c:pt idx="0">
                  <c:v>-6.9635331527174715E-3</c:v>
                </c:pt>
                <c:pt idx="1">
                  <c:v>-6.0469017902319028E-3</c:v>
                </c:pt>
                <c:pt idx="3">
                  <c:v>-6.0469017902319028E-3</c:v>
                </c:pt>
                <c:pt idx="4">
                  <c:v>-6.0453322159810712E-3</c:v>
                </c:pt>
                <c:pt idx="5">
                  <c:v>-5.7486826825739268E-3</c:v>
                </c:pt>
                <c:pt idx="6">
                  <c:v>-5.0643483092114132E-3</c:v>
                </c:pt>
                <c:pt idx="7">
                  <c:v>-5.0627787349605815E-3</c:v>
                </c:pt>
                <c:pt idx="8">
                  <c:v>-5.0612091607097499E-3</c:v>
                </c:pt>
                <c:pt idx="9">
                  <c:v>-5.0392351211981101E-3</c:v>
                </c:pt>
                <c:pt idx="10">
                  <c:v>-5.0125523589339754E-3</c:v>
                </c:pt>
                <c:pt idx="11">
                  <c:v>-4.989008745171504E-3</c:v>
                </c:pt>
                <c:pt idx="12">
                  <c:v>-4.5102885986679098E-3</c:v>
                </c:pt>
                <c:pt idx="13">
                  <c:v>-4.4035575496113718E-3</c:v>
                </c:pt>
                <c:pt idx="14">
                  <c:v>-3.9546593138735757E-3</c:v>
                </c:pt>
                <c:pt idx="15">
                  <c:v>-3.9530897396227449E-3</c:v>
                </c:pt>
                <c:pt idx="16">
                  <c:v>-3.8243846510545654E-3</c:v>
                </c:pt>
                <c:pt idx="17">
                  <c:v>-3.8228150768037338E-3</c:v>
                </c:pt>
                <c:pt idx="18">
                  <c:v>-3.8024106115429252E-3</c:v>
                </c:pt>
                <c:pt idx="19">
                  <c:v>-3.7537538097671499E-3</c:v>
                </c:pt>
                <c:pt idx="20">
                  <c:v>-3.621909572697308E-3</c:v>
                </c:pt>
                <c:pt idx="21">
                  <c:v>-3.5685440481690385E-3</c:v>
                </c:pt>
                <c:pt idx="22">
                  <c:v>-3.1887070794678271E-3</c:v>
                </c:pt>
                <c:pt idx="23">
                  <c:v>-3.1400502776920518E-3</c:v>
                </c:pt>
                <c:pt idx="24">
                  <c:v>-3.1400502776920518E-3</c:v>
                </c:pt>
                <c:pt idx="25">
                  <c:v>1.7130733058788004E-3</c:v>
                </c:pt>
                <c:pt idx="26">
                  <c:v>2.3189289666997424E-3</c:v>
                </c:pt>
                <c:pt idx="27">
                  <c:v>4.7219471447226963E-3</c:v>
                </c:pt>
                <c:pt idx="28">
                  <c:v>6.6682192157536974E-3</c:v>
                </c:pt>
                <c:pt idx="29">
                  <c:v>6.7466979282952699E-3</c:v>
                </c:pt>
                <c:pt idx="30">
                  <c:v>6.7482675025461025E-3</c:v>
                </c:pt>
                <c:pt idx="31">
                  <c:v>7.1689134017689313E-3</c:v>
                </c:pt>
                <c:pt idx="32">
                  <c:v>2.7879445641489954E-2</c:v>
                </c:pt>
                <c:pt idx="33">
                  <c:v>3.1778268080555283E-2</c:v>
                </c:pt>
                <c:pt idx="34">
                  <c:v>3.4025898407745926E-2</c:v>
                </c:pt>
                <c:pt idx="35">
                  <c:v>3.5261153343150275E-2</c:v>
                </c:pt>
                <c:pt idx="36">
                  <c:v>3.5331784184437692E-2</c:v>
                </c:pt>
                <c:pt idx="37">
                  <c:v>3.6124419181107578E-2</c:v>
                </c:pt>
                <c:pt idx="38">
                  <c:v>3.663296123837697E-2</c:v>
                </c:pt>
                <c:pt idx="39">
                  <c:v>3.7339269651251124E-2</c:v>
                </c:pt>
                <c:pt idx="40">
                  <c:v>3.8442680349585631E-2</c:v>
                </c:pt>
                <c:pt idx="41">
                  <c:v>3.8470932686100599E-2</c:v>
                </c:pt>
                <c:pt idx="42">
                  <c:v>3.9125445148697313E-2</c:v>
                </c:pt>
                <c:pt idx="43">
                  <c:v>3.9681074433491649E-2</c:v>
                </c:pt>
                <c:pt idx="44">
                  <c:v>4.0895924903635195E-2</c:v>
                </c:pt>
                <c:pt idx="45">
                  <c:v>4.0955568725166792E-2</c:v>
                </c:pt>
                <c:pt idx="46">
                  <c:v>4.1961665819949749E-2</c:v>
                </c:pt>
                <c:pt idx="47">
                  <c:v>4.4451010581768438E-2</c:v>
                </c:pt>
                <c:pt idx="48">
                  <c:v>4.3333473715176443E-2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CC-4596-9D18-3C1023D739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Active!$U$21:$U$69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CC-4596-9D18-3C1023D73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8360"/>
        <c:axId val="1"/>
      </c:scatterChart>
      <c:valAx>
        <c:axId val="66062836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3076923076927"/>
              <c:y val="0.8629309654050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7555061894958851E-2"/>
              <c:y val="0.41744693950293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2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38461538461539"/>
          <c:y val="0.90654467257013438"/>
          <c:w val="0.82517482517482521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Per - O-C Diagr.</a:t>
            </a:r>
          </a:p>
        </c:rich>
      </c:tx>
      <c:layout>
        <c:manualLayout>
          <c:xMode val="edge"/>
          <c:yMode val="edge"/>
          <c:x val="0.37619097612798397"/>
          <c:y val="4.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1927644357087"/>
          <c:y val="0.24374999999999999"/>
          <c:w val="0.80158854412906766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(2)'!$H$21:$H$23</c:f>
              <c:numCache>
                <c:formatCode>General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1C-4D94-A6F7-ABD9B11DD892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(2)'!$I$21:$I$23</c:f>
              <c:numCache>
                <c:formatCode>General</c:formatCode>
                <c:ptCount val="3"/>
                <c:pt idx="1">
                  <c:v>-0.43012060000182828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1C-4D94-A6F7-ABD9B11DD892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(2)'!$J$21:$J$23</c:f>
              <c:numCache>
                <c:formatCode>General</c:formatCode>
                <c:ptCount val="3"/>
                <c:pt idx="2">
                  <c:v>-0.43628380000154721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1C-4D94-A6F7-ABD9B11DD892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(2)'!$K$21:$K$23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1C-4D94-A6F7-ABD9B11DD892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1C-4D94-A6F7-ABD9B11DD892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1C-4D94-A6F7-ABD9B11DD892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1C-4D94-A6F7-ABD9B11DD892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(2)'!$O$21:$O$23</c:f>
              <c:numCache>
                <c:formatCode>General</c:formatCode>
                <c:ptCount val="3"/>
                <c:pt idx="0">
                  <c:v>-1.4586062394794652E-3</c:v>
                </c:pt>
                <c:pt idx="1">
                  <c:v>-0.41313563286644062</c:v>
                </c:pt>
                <c:pt idx="2">
                  <c:v>-0.45181016089745535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1C-4D94-A6F7-ABD9B11D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07840"/>
        <c:axId val="1"/>
      </c:scatterChart>
      <c:valAx>
        <c:axId val="66060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4845227679874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730325375994666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078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666699995833853"/>
          <c:y val="0.89687499999999998"/>
          <c:w val="0.8841284839395076"/>
          <c:h val="0.959374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180975</xdr:colOff>
      <xdr:row>18</xdr:row>
      <xdr:rowOff>66674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17A2F1-B538-41A7-E24D-2103A5ACF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504825</xdr:colOff>
      <xdr:row>18</xdr:row>
      <xdr:rowOff>76200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FF1310F-9631-7693-453B-74611672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66A9A541-A4D0-5720-549E-8A71698A5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45" TargetMode="External"/><Relationship Id="rId13" Type="http://schemas.openxmlformats.org/officeDocument/2006/relationships/hyperlink" Target="http://www.bav-astro.de/sfs/BAVM_link.php?BAVMnr=79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konkoly.hu/cgi-bin/IBVS?5938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bav-astro.de/sfs/BAVM_link.php?BAVMnr=172" TargetMode="External"/><Relationship Id="rId6" Type="http://schemas.openxmlformats.org/officeDocument/2006/relationships/hyperlink" Target="http://www.konkoly.hu/cgi-bin/IBVS?5871" TargetMode="External"/><Relationship Id="rId11" Type="http://schemas.openxmlformats.org/officeDocument/2006/relationships/hyperlink" Target="http://www.bav-astro.de/sfs/BAVM_link.php?BAVMnr=232" TargetMode="External"/><Relationship Id="rId5" Type="http://schemas.openxmlformats.org/officeDocument/2006/relationships/hyperlink" Target="http://www.bav-astro.de/sfs/BAVM_link.php?BAVMnr=201" TargetMode="External"/><Relationship Id="rId10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workbookViewId="0">
      <pane xSplit="14" ySplit="21" topLeftCell="O56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5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</row>
    <row r="4" spans="1:6" x14ac:dyDescent="0.2">
      <c r="A4" s="3" t="s">
        <v>3</v>
      </c>
      <c r="C4" s="4">
        <v>28247.358</v>
      </c>
      <c r="D4" s="5">
        <v>0.93791880000000005</v>
      </c>
    </row>
    <row r="5" spans="1:6" x14ac:dyDescent="0.2">
      <c r="A5" s="6" t="s">
        <v>4</v>
      </c>
      <c r="B5"/>
      <c r="C5" s="7">
        <v>-9.5</v>
      </c>
      <c r="D5" t="s">
        <v>5</v>
      </c>
    </row>
    <row r="6" spans="1:6" x14ac:dyDescent="0.2">
      <c r="A6" s="3" t="s">
        <v>6</v>
      </c>
    </row>
    <row r="7" spans="1:6" x14ac:dyDescent="0.2">
      <c r="A7" s="1" t="s">
        <v>7</v>
      </c>
      <c r="C7" s="1">
        <f>+C4</f>
        <v>28247.358</v>
      </c>
    </row>
    <row r="8" spans="1:6" x14ac:dyDescent="0.2">
      <c r="A8" s="1" t="s">
        <v>8</v>
      </c>
      <c r="C8" s="1">
        <f>+D4</f>
        <v>0.93791880000000005</v>
      </c>
    </row>
    <row r="9" spans="1:6" x14ac:dyDescent="0.2">
      <c r="A9" s="8" t="s">
        <v>9</v>
      </c>
      <c r="B9" s="9">
        <v>21</v>
      </c>
      <c r="C9" s="10" t="str">
        <f>"F"&amp;B9</f>
        <v>F21</v>
      </c>
      <c r="D9" s="11" t="str">
        <f>"G"&amp;B9</f>
        <v>G21</v>
      </c>
    </row>
    <row r="10" spans="1:6" x14ac:dyDescent="0.2">
      <c r="A10"/>
      <c r="B10"/>
      <c r="C10" s="12" t="s">
        <v>10</v>
      </c>
      <c r="D10" s="12" t="s">
        <v>11</v>
      </c>
      <c r="E10"/>
    </row>
    <row r="11" spans="1:6" x14ac:dyDescent="0.2">
      <c r="A11" t="s">
        <v>12</v>
      </c>
      <c r="B11"/>
      <c r="C11" s="13">
        <f ca="1">INTERCEPT(INDIRECT($D$9):G992,INDIRECT($C$9):F992)</f>
        <v>-6.0469017902319028E-3</v>
      </c>
      <c r="D11" s="14"/>
      <c r="E11"/>
    </row>
    <row r="12" spans="1:6" x14ac:dyDescent="0.2">
      <c r="A12" t="s">
        <v>13</v>
      </c>
      <c r="B12"/>
      <c r="C12" s="13">
        <f ca="1">SLOPE(INDIRECT($D$9):G992,INDIRECT($C$9):F992)</f>
        <v>1.569574250831453E-6</v>
      </c>
      <c r="D12" s="14"/>
      <c r="E12"/>
    </row>
    <row r="13" spans="1:6" x14ac:dyDescent="0.2">
      <c r="A13" t="s">
        <v>14</v>
      </c>
      <c r="B13"/>
      <c r="C13" s="14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(C7+C11)+(C8+C12)*INT(MAX(F21:F3533))</f>
        <v>59607.657430182859</v>
      </c>
      <c r="E15" s="8" t="s">
        <v>17</v>
      </c>
      <c r="F15" s="7">
        <v>1</v>
      </c>
    </row>
    <row r="16" spans="1:6" x14ac:dyDescent="0.2">
      <c r="A16" s="15" t="s">
        <v>18</v>
      </c>
      <c r="B16"/>
      <c r="C16" s="16">
        <f ca="1">+C8+C12</f>
        <v>0.93792036957425085</v>
      </c>
      <c r="E16" s="8" t="s">
        <v>19</v>
      </c>
      <c r="F16" s="13">
        <f ca="1">NOW()+15018.5+$C$5/24</f>
        <v>60372.755242708328</v>
      </c>
    </row>
    <row r="17" spans="1:21" x14ac:dyDescent="0.2">
      <c r="A17" s="8" t="s">
        <v>20</v>
      </c>
      <c r="B17"/>
      <c r="C17">
        <f>COUNT(C21:C2191)</f>
        <v>50</v>
      </c>
      <c r="E17" s="8" t="s">
        <v>21</v>
      </c>
      <c r="F17" s="13">
        <f ca="1">ROUND(2*(F16-$C$7)/$C$8,0)/2+F15</f>
        <v>34253</v>
      </c>
    </row>
    <row r="18" spans="1:21" x14ac:dyDescent="0.2">
      <c r="A18" s="15" t="s">
        <v>22</v>
      </c>
      <c r="B18"/>
      <c r="C18" s="17">
        <f ca="1">+C15</f>
        <v>59607.657430182859</v>
      </c>
      <c r="D18" s="18">
        <f ca="1">+C16</f>
        <v>0.93792036957425085</v>
      </c>
      <c r="E18" s="8" t="s">
        <v>23</v>
      </c>
      <c r="F18" s="11">
        <f ca="1">ROUND(2*(F16-$C$15)/$C$16,0)/2+F15</f>
        <v>816.5</v>
      </c>
    </row>
    <row r="19" spans="1:21" x14ac:dyDescent="0.2">
      <c r="E19" s="8" t="s">
        <v>24</v>
      </c>
      <c r="F19" s="19">
        <f ca="1">+$C$15+$C$16*F18-15018.5-$C$5/24</f>
        <v>45355.36524527357</v>
      </c>
    </row>
    <row r="20" spans="1:21" x14ac:dyDescent="0.2">
      <c r="A20" s="12" t="s">
        <v>25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2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2">
        <v>27699.583999999999</v>
      </c>
      <c r="D21" s="24"/>
      <c r="E21" s="1">
        <f t="shared" ref="E21:E55" si="0">+(C21-C$7)/C$8</f>
        <v>-584.03136817387735</v>
      </c>
      <c r="F21" s="1">
        <f t="shared" ref="F21:F55" si="1">ROUND(2*E21,0)/2</f>
        <v>-584</v>
      </c>
      <c r="G21" s="1">
        <f t="shared" ref="G21:G55" si="2">+C21-(C$7+F21*C$8)</f>
        <v>-2.942080000138958E-2</v>
      </c>
      <c r="H21" s="1">
        <f>G21</f>
        <v>-2.942080000138958E-2</v>
      </c>
      <c r="O21" s="1">
        <f ca="1">+C$11+C$12*F21</f>
        <v>-6.9635331527174715E-3</v>
      </c>
      <c r="Q21" s="56">
        <f t="shared" ref="Q21:Q55" si="3">+C21-15018.5</f>
        <v>12681.083999999999</v>
      </c>
    </row>
    <row r="22" spans="1:21" x14ac:dyDescent="0.2">
      <c r="A22" s="22" t="s">
        <v>43</v>
      </c>
      <c r="B22" s="23" t="s">
        <v>44</v>
      </c>
      <c r="C22" s="22">
        <v>28247.328000000001</v>
      </c>
      <c r="D22" s="24"/>
      <c r="E22" s="1">
        <f t="shared" si="0"/>
        <v>-3.1985711341787633E-2</v>
      </c>
      <c r="F22" s="1">
        <f t="shared" si="1"/>
        <v>0</v>
      </c>
      <c r="G22" s="1">
        <f t="shared" si="2"/>
        <v>-2.9999999998835847E-2</v>
      </c>
      <c r="H22" s="1">
        <f>G22</f>
        <v>-2.9999999998835847E-2</v>
      </c>
      <c r="O22" s="1">
        <f ca="1">+C$11+C$12*F22</f>
        <v>-6.0469017902319028E-3</v>
      </c>
      <c r="Q22" s="56">
        <f t="shared" si="3"/>
        <v>13228.828000000001</v>
      </c>
    </row>
    <row r="23" spans="1:21" x14ac:dyDescent="0.2">
      <c r="A23" s="1" t="s">
        <v>45</v>
      </c>
      <c r="C23" s="24">
        <v>28247.358</v>
      </c>
      <c r="D23" s="24" t="s">
        <v>15</v>
      </c>
      <c r="E23" s="1">
        <f t="shared" si="0"/>
        <v>0</v>
      </c>
      <c r="F23" s="1">
        <f t="shared" si="1"/>
        <v>0</v>
      </c>
      <c r="G23" s="1">
        <f t="shared" si="2"/>
        <v>0</v>
      </c>
      <c r="H23" s="1">
        <f t="shared" ref="H23:H53" si="4">G23</f>
        <v>0</v>
      </c>
      <c r="Q23" s="56">
        <f t="shared" si="3"/>
        <v>13228.858</v>
      </c>
    </row>
    <row r="24" spans="1:21" x14ac:dyDescent="0.2">
      <c r="A24" s="22" t="s">
        <v>43</v>
      </c>
      <c r="B24" s="23" t="s">
        <v>44</v>
      </c>
      <c r="C24" s="22">
        <v>28247.383000000002</v>
      </c>
      <c r="D24" s="24"/>
      <c r="E24" s="1">
        <f t="shared" si="0"/>
        <v>2.6654759454075545E-2</v>
      </c>
      <c r="F24" s="1">
        <f t="shared" si="1"/>
        <v>0</v>
      </c>
      <c r="G24" s="1">
        <f t="shared" si="2"/>
        <v>2.5000000001455192E-2</v>
      </c>
      <c r="H24" s="1">
        <f t="shared" si="4"/>
        <v>2.5000000001455192E-2</v>
      </c>
      <c r="O24" s="1">
        <f t="shared" ref="O24:O55" ca="1" si="5">+C$11+C$12*F24</f>
        <v>-6.0469017902319028E-3</v>
      </c>
      <c r="Q24" s="56">
        <f t="shared" si="3"/>
        <v>13228.883000000002</v>
      </c>
    </row>
    <row r="25" spans="1:21" x14ac:dyDescent="0.2">
      <c r="A25" s="22" t="s">
        <v>43</v>
      </c>
      <c r="B25" s="23" t="s">
        <v>44</v>
      </c>
      <c r="C25" s="22">
        <v>28248.324000000001</v>
      </c>
      <c r="D25" s="24"/>
      <c r="E25" s="1">
        <f t="shared" si="0"/>
        <v>1.0299399052459011</v>
      </c>
      <c r="F25" s="1">
        <f t="shared" si="1"/>
        <v>1</v>
      </c>
      <c r="G25" s="1">
        <f t="shared" si="2"/>
        <v>2.8081200001906836E-2</v>
      </c>
      <c r="H25" s="1">
        <f t="shared" si="4"/>
        <v>2.8081200001906836E-2</v>
      </c>
      <c r="O25" s="1">
        <f t="shared" ca="1" si="5"/>
        <v>-6.0453322159810712E-3</v>
      </c>
      <c r="Q25" s="56">
        <f t="shared" si="3"/>
        <v>13229.824000000001</v>
      </c>
    </row>
    <row r="26" spans="1:21" x14ac:dyDescent="0.2">
      <c r="A26" s="22" t="s">
        <v>43</v>
      </c>
      <c r="B26" s="23" t="s">
        <v>44</v>
      </c>
      <c r="C26" s="22">
        <v>28425.523000000001</v>
      </c>
      <c r="D26" s="24"/>
      <c r="E26" s="1">
        <f t="shared" si="0"/>
        <v>189.95780871435872</v>
      </c>
      <c r="F26" s="1">
        <f t="shared" si="1"/>
        <v>190</v>
      </c>
      <c r="G26" s="1">
        <f t="shared" si="2"/>
        <v>-3.9571999997860985E-2</v>
      </c>
      <c r="H26" s="1">
        <f t="shared" si="4"/>
        <v>-3.9571999997860985E-2</v>
      </c>
      <c r="O26" s="1">
        <f t="shared" ca="1" si="5"/>
        <v>-5.7486826825739268E-3</v>
      </c>
      <c r="Q26" s="56">
        <f t="shared" si="3"/>
        <v>13407.023000000001</v>
      </c>
    </row>
    <row r="27" spans="1:21" x14ac:dyDescent="0.2">
      <c r="A27" s="22" t="s">
        <v>43</v>
      </c>
      <c r="B27" s="23" t="s">
        <v>44</v>
      </c>
      <c r="C27" s="22">
        <v>28834.487000000001</v>
      </c>
      <c r="D27" s="24"/>
      <c r="E27" s="1">
        <f t="shared" si="0"/>
        <v>625.99129050404019</v>
      </c>
      <c r="F27" s="1">
        <f t="shared" si="1"/>
        <v>626</v>
      </c>
      <c r="G27" s="1">
        <f t="shared" si="2"/>
        <v>-8.1687999991117977E-3</v>
      </c>
      <c r="H27" s="1">
        <f t="shared" si="4"/>
        <v>-8.1687999991117977E-3</v>
      </c>
      <c r="O27" s="1">
        <f t="shared" ca="1" si="5"/>
        <v>-5.0643483092114132E-3</v>
      </c>
      <c r="Q27" s="56">
        <f t="shared" si="3"/>
        <v>13815.987000000001</v>
      </c>
    </row>
    <row r="28" spans="1:21" x14ac:dyDescent="0.2">
      <c r="A28" s="22" t="s">
        <v>43</v>
      </c>
      <c r="B28" s="23" t="s">
        <v>44</v>
      </c>
      <c r="C28" s="22">
        <v>28835.41</v>
      </c>
      <c r="D28" s="24"/>
      <c r="E28" s="1">
        <f t="shared" si="0"/>
        <v>626.97538422302614</v>
      </c>
      <c r="F28" s="1">
        <f t="shared" si="1"/>
        <v>627</v>
      </c>
      <c r="G28" s="1">
        <f t="shared" si="2"/>
        <v>-2.3087599998689257E-2</v>
      </c>
      <c r="H28" s="1">
        <f t="shared" si="4"/>
        <v>-2.3087599998689257E-2</v>
      </c>
      <c r="O28" s="1">
        <f t="shared" ca="1" si="5"/>
        <v>-5.0627787349605815E-3</v>
      </c>
      <c r="Q28" s="56">
        <f t="shared" si="3"/>
        <v>13816.91</v>
      </c>
    </row>
    <row r="29" spans="1:21" x14ac:dyDescent="0.2">
      <c r="A29" s="22" t="s">
        <v>43</v>
      </c>
      <c r="B29" s="23" t="s">
        <v>44</v>
      </c>
      <c r="C29" s="22">
        <v>28836.405999999999</v>
      </c>
      <c r="D29" s="24"/>
      <c r="E29" s="1">
        <f t="shared" si="0"/>
        <v>628.03730983961384</v>
      </c>
      <c r="F29" s="1">
        <f t="shared" si="1"/>
        <v>628</v>
      </c>
      <c r="G29" s="1">
        <f t="shared" si="2"/>
        <v>3.4993599998415448E-2</v>
      </c>
      <c r="H29" s="1">
        <f t="shared" si="4"/>
        <v>3.4993599998415448E-2</v>
      </c>
      <c r="O29" s="1">
        <f t="shared" ca="1" si="5"/>
        <v>-5.0612091607097499E-3</v>
      </c>
      <c r="Q29" s="56">
        <f t="shared" si="3"/>
        <v>13817.905999999999</v>
      </c>
    </row>
    <row r="30" spans="1:21" x14ac:dyDescent="0.2">
      <c r="A30" s="22" t="s">
        <v>43</v>
      </c>
      <c r="B30" s="23" t="s">
        <v>44</v>
      </c>
      <c r="C30" s="22">
        <v>28849.510999999999</v>
      </c>
      <c r="D30" s="24"/>
      <c r="E30" s="1">
        <f t="shared" si="0"/>
        <v>642.00973474462648</v>
      </c>
      <c r="F30" s="1">
        <f t="shared" si="1"/>
        <v>642</v>
      </c>
      <c r="G30" s="1">
        <f t="shared" si="2"/>
        <v>9.1303999979572836E-3</v>
      </c>
      <c r="H30" s="1">
        <f t="shared" si="4"/>
        <v>9.1303999979572836E-3</v>
      </c>
      <c r="O30" s="1">
        <f t="shared" ca="1" si="5"/>
        <v>-5.0392351211981101E-3</v>
      </c>
      <c r="Q30" s="56">
        <f t="shared" si="3"/>
        <v>13831.010999999999</v>
      </c>
    </row>
    <row r="31" spans="1:21" x14ac:dyDescent="0.2">
      <c r="A31" s="22" t="s">
        <v>43</v>
      </c>
      <c r="B31" s="23" t="s">
        <v>44</v>
      </c>
      <c r="C31" s="22">
        <v>28865.423999999999</v>
      </c>
      <c r="D31" s="24"/>
      <c r="E31" s="1">
        <f t="shared" si="0"/>
        <v>658.97602223134754</v>
      </c>
      <c r="F31" s="1">
        <f t="shared" si="1"/>
        <v>659</v>
      </c>
      <c r="G31" s="1">
        <f t="shared" si="2"/>
        <v>-2.2489200000563869E-2</v>
      </c>
      <c r="H31" s="1">
        <f t="shared" si="4"/>
        <v>-2.2489200000563869E-2</v>
      </c>
      <c r="O31" s="1">
        <f t="shared" ca="1" si="5"/>
        <v>-5.0125523589339754E-3</v>
      </c>
      <c r="Q31" s="56">
        <f t="shared" si="3"/>
        <v>13846.923999999999</v>
      </c>
    </row>
    <row r="32" spans="1:21" x14ac:dyDescent="0.2">
      <c r="A32" s="22" t="s">
        <v>43</v>
      </c>
      <c r="B32" s="23" t="s">
        <v>44</v>
      </c>
      <c r="C32" s="22">
        <v>28879.521000000001</v>
      </c>
      <c r="D32" s="24"/>
      <c r="E32" s="1">
        <f t="shared" si="0"/>
        <v>674.00610799143851</v>
      </c>
      <c r="F32" s="1">
        <f t="shared" si="1"/>
        <v>674</v>
      </c>
      <c r="G32" s="1">
        <f t="shared" si="2"/>
        <v>5.7287999989057425E-3</v>
      </c>
      <c r="H32" s="1">
        <f t="shared" si="4"/>
        <v>5.7287999989057425E-3</v>
      </c>
      <c r="O32" s="1">
        <f t="shared" ca="1" si="5"/>
        <v>-4.989008745171504E-3</v>
      </c>
      <c r="Q32" s="56">
        <f t="shared" si="3"/>
        <v>13861.021000000001</v>
      </c>
    </row>
    <row r="33" spans="1:17" x14ac:dyDescent="0.2">
      <c r="A33" s="22" t="s">
        <v>43</v>
      </c>
      <c r="B33" s="23" t="s">
        <v>44</v>
      </c>
      <c r="C33" s="22">
        <v>29165.555</v>
      </c>
      <c r="D33" s="24"/>
      <c r="E33" s="1">
        <f t="shared" si="0"/>
        <v>978.97280660116849</v>
      </c>
      <c r="F33" s="1">
        <f t="shared" si="1"/>
        <v>979</v>
      </c>
      <c r="G33" s="1">
        <f t="shared" si="2"/>
        <v>-2.5505199999315664E-2</v>
      </c>
      <c r="H33" s="1">
        <f t="shared" si="4"/>
        <v>-2.5505199999315664E-2</v>
      </c>
      <c r="O33" s="1">
        <f t="shared" ca="1" si="5"/>
        <v>-4.5102885986679098E-3</v>
      </c>
      <c r="Q33" s="56">
        <f t="shared" si="3"/>
        <v>14147.055</v>
      </c>
    </row>
    <row r="34" spans="1:17" x14ac:dyDescent="0.2">
      <c r="A34" s="22" t="s">
        <v>43</v>
      </c>
      <c r="B34" s="23" t="s">
        <v>44</v>
      </c>
      <c r="C34" s="22">
        <v>29229.33</v>
      </c>
      <c r="D34" s="24"/>
      <c r="E34" s="1">
        <f t="shared" si="0"/>
        <v>1046.9690979645588</v>
      </c>
      <c r="F34" s="1">
        <f t="shared" si="1"/>
        <v>1047</v>
      </c>
      <c r="G34" s="1">
        <f t="shared" si="2"/>
        <v>-2.8983599997445708E-2</v>
      </c>
      <c r="H34" s="1">
        <f t="shared" si="4"/>
        <v>-2.8983599997445708E-2</v>
      </c>
      <c r="O34" s="1">
        <f t="shared" ca="1" si="5"/>
        <v>-4.4035575496113718E-3</v>
      </c>
      <c r="Q34" s="56">
        <f t="shared" si="3"/>
        <v>14210.830000000002</v>
      </c>
    </row>
    <row r="35" spans="1:17" x14ac:dyDescent="0.2">
      <c r="A35" s="22" t="s">
        <v>43</v>
      </c>
      <c r="B35" s="23" t="s">
        <v>44</v>
      </c>
      <c r="C35" s="22">
        <v>29497.581999999999</v>
      </c>
      <c r="D35" s="24"/>
      <c r="E35" s="1">
        <f t="shared" si="0"/>
        <v>1332.9767992708946</v>
      </c>
      <c r="F35" s="1">
        <f t="shared" si="1"/>
        <v>1333</v>
      </c>
      <c r="G35" s="1">
        <f t="shared" si="2"/>
        <v>-2.1760400002676761E-2</v>
      </c>
      <c r="H35" s="1">
        <f t="shared" si="4"/>
        <v>-2.1760400002676761E-2</v>
      </c>
      <c r="O35" s="1">
        <f t="shared" ca="1" si="5"/>
        <v>-3.9546593138735757E-3</v>
      </c>
      <c r="Q35" s="56">
        <f t="shared" si="3"/>
        <v>14479.081999999999</v>
      </c>
    </row>
    <row r="36" spans="1:17" x14ac:dyDescent="0.2">
      <c r="A36" s="22" t="s">
        <v>43</v>
      </c>
      <c r="B36" s="23" t="s">
        <v>44</v>
      </c>
      <c r="C36" s="22">
        <v>29498.554</v>
      </c>
      <c r="D36" s="24"/>
      <c r="E36" s="1">
        <f t="shared" si="0"/>
        <v>1334.0131363184103</v>
      </c>
      <c r="F36" s="1">
        <f t="shared" si="1"/>
        <v>1334</v>
      </c>
      <c r="G36" s="1">
        <f t="shared" si="2"/>
        <v>1.2320800000452437E-2</v>
      </c>
      <c r="H36" s="1">
        <f t="shared" si="4"/>
        <v>1.2320800000452437E-2</v>
      </c>
      <c r="O36" s="1">
        <f t="shared" ca="1" si="5"/>
        <v>-3.9530897396227449E-3</v>
      </c>
      <c r="Q36" s="56">
        <f t="shared" si="3"/>
        <v>14480.054</v>
      </c>
    </row>
    <row r="37" spans="1:17" x14ac:dyDescent="0.2">
      <c r="A37" s="22" t="s">
        <v>43</v>
      </c>
      <c r="B37" s="23" t="s">
        <v>44</v>
      </c>
      <c r="C37" s="22">
        <v>29575.446</v>
      </c>
      <c r="D37" s="24"/>
      <c r="E37" s="1">
        <f t="shared" si="0"/>
        <v>1415.9946468713492</v>
      </c>
      <c r="F37" s="1">
        <f t="shared" si="1"/>
        <v>1416</v>
      </c>
      <c r="G37" s="1">
        <f t="shared" si="2"/>
        <v>-5.0207999993290287E-3</v>
      </c>
      <c r="H37" s="1">
        <f t="shared" si="4"/>
        <v>-5.0207999993290287E-3</v>
      </c>
      <c r="O37" s="1">
        <f t="shared" ca="1" si="5"/>
        <v>-3.8243846510545654E-3</v>
      </c>
      <c r="Q37" s="56">
        <f t="shared" si="3"/>
        <v>14556.946</v>
      </c>
    </row>
    <row r="38" spans="1:17" x14ac:dyDescent="0.2">
      <c r="A38" s="22" t="s">
        <v>43</v>
      </c>
      <c r="B38" s="23" t="s">
        <v>44</v>
      </c>
      <c r="C38" s="22">
        <v>29576.374</v>
      </c>
      <c r="D38" s="24"/>
      <c r="E38" s="1">
        <f t="shared" si="0"/>
        <v>1416.9840715422267</v>
      </c>
      <c r="F38" s="1">
        <f t="shared" si="1"/>
        <v>1417</v>
      </c>
      <c r="G38" s="1">
        <f t="shared" si="2"/>
        <v>-1.4939600001525832E-2</v>
      </c>
      <c r="H38" s="1">
        <f t="shared" si="4"/>
        <v>-1.4939600001525832E-2</v>
      </c>
      <c r="O38" s="1">
        <f t="shared" ca="1" si="5"/>
        <v>-3.8228150768037338E-3</v>
      </c>
      <c r="Q38" s="56">
        <f t="shared" si="3"/>
        <v>14557.874</v>
      </c>
    </row>
    <row r="39" spans="1:17" x14ac:dyDescent="0.2">
      <c r="A39" s="22" t="s">
        <v>43</v>
      </c>
      <c r="B39" s="23" t="s">
        <v>44</v>
      </c>
      <c r="C39" s="22">
        <v>29588.61</v>
      </c>
      <c r="D39" s="24"/>
      <c r="E39" s="1">
        <f t="shared" si="0"/>
        <v>1430.029977008671</v>
      </c>
      <c r="F39" s="1">
        <f t="shared" si="1"/>
        <v>1430</v>
      </c>
      <c r="G39" s="1">
        <f t="shared" si="2"/>
        <v>2.8116000001318753E-2</v>
      </c>
      <c r="H39" s="1">
        <f t="shared" si="4"/>
        <v>2.8116000001318753E-2</v>
      </c>
      <c r="O39" s="1">
        <f t="shared" ca="1" si="5"/>
        <v>-3.8024106115429252E-3</v>
      </c>
      <c r="Q39" s="56">
        <f t="shared" si="3"/>
        <v>14570.11</v>
      </c>
    </row>
    <row r="40" spans="1:17" x14ac:dyDescent="0.2">
      <c r="A40" s="22" t="s">
        <v>43</v>
      </c>
      <c r="B40" s="23" t="s">
        <v>44</v>
      </c>
      <c r="C40" s="22">
        <v>29617.677</v>
      </c>
      <c r="D40" s="24"/>
      <c r="E40" s="1">
        <f t="shared" si="0"/>
        <v>1461.0209327289308</v>
      </c>
      <c r="F40" s="1">
        <f t="shared" si="1"/>
        <v>1461</v>
      </c>
      <c r="G40" s="1">
        <f t="shared" si="2"/>
        <v>1.9633199997770134E-2</v>
      </c>
      <c r="H40" s="1">
        <f t="shared" si="4"/>
        <v>1.9633199997770134E-2</v>
      </c>
      <c r="O40" s="1">
        <f t="shared" ca="1" si="5"/>
        <v>-3.7537538097671499E-3</v>
      </c>
      <c r="Q40" s="56">
        <f t="shared" si="3"/>
        <v>14599.177</v>
      </c>
    </row>
    <row r="41" spans="1:17" x14ac:dyDescent="0.2">
      <c r="A41" s="22" t="s">
        <v>43</v>
      </c>
      <c r="B41" s="23" t="s">
        <v>44</v>
      </c>
      <c r="C41" s="22">
        <v>29696.440999999999</v>
      </c>
      <c r="D41" s="24"/>
      <c r="E41" s="1">
        <f t="shared" si="0"/>
        <v>1544.9983516696741</v>
      </c>
      <c r="F41" s="1">
        <f t="shared" si="1"/>
        <v>1545</v>
      </c>
      <c r="G41" s="1">
        <f t="shared" si="2"/>
        <v>-1.5459999995073304E-3</v>
      </c>
      <c r="H41" s="1">
        <f t="shared" si="4"/>
        <v>-1.5459999995073304E-3</v>
      </c>
      <c r="O41" s="1">
        <f t="shared" ca="1" si="5"/>
        <v>-3.621909572697308E-3</v>
      </c>
      <c r="Q41" s="56">
        <f t="shared" si="3"/>
        <v>14677.940999999999</v>
      </c>
    </row>
    <row r="42" spans="1:17" x14ac:dyDescent="0.2">
      <c r="A42" s="22" t="s">
        <v>43</v>
      </c>
      <c r="B42" s="23" t="s">
        <v>44</v>
      </c>
      <c r="C42" s="22">
        <v>29728.332999999999</v>
      </c>
      <c r="D42" s="24"/>
      <c r="E42" s="1">
        <f t="shared" si="0"/>
        <v>1579.0012952080697</v>
      </c>
      <c r="F42" s="1">
        <f t="shared" si="1"/>
        <v>1579</v>
      </c>
      <c r="G42" s="1">
        <f t="shared" si="2"/>
        <v>1.2147999987064395E-3</v>
      </c>
      <c r="H42" s="1">
        <f t="shared" si="4"/>
        <v>1.2147999987064395E-3</v>
      </c>
      <c r="O42" s="1">
        <f t="shared" ca="1" si="5"/>
        <v>-3.5685440481690385E-3</v>
      </c>
      <c r="Q42" s="56">
        <f t="shared" si="3"/>
        <v>14709.832999999999</v>
      </c>
    </row>
    <row r="43" spans="1:17" x14ac:dyDescent="0.2">
      <c r="A43" s="22" t="s">
        <v>43</v>
      </c>
      <c r="B43" s="23" t="s">
        <v>44</v>
      </c>
      <c r="C43" s="22">
        <v>29955.298999999999</v>
      </c>
      <c r="D43" s="24"/>
      <c r="E43" s="1">
        <f t="shared" si="0"/>
        <v>1820.9902605641328</v>
      </c>
      <c r="F43" s="1">
        <f t="shared" si="1"/>
        <v>1821</v>
      </c>
      <c r="G43" s="1">
        <f t="shared" si="2"/>
        <v>-9.134800002357224E-3</v>
      </c>
      <c r="H43" s="1">
        <f t="shared" si="4"/>
        <v>-9.134800002357224E-3</v>
      </c>
      <c r="O43" s="1">
        <f t="shared" ca="1" si="5"/>
        <v>-3.1887070794678271E-3</v>
      </c>
      <c r="Q43" s="56">
        <f t="shared" si="3"/>
        <v>14936.798999999999</v>
      </c>
    </row>
    <row r="44" spans="1:17" x14ac:dyDescent="0.2">
      <c r="A44" s="22" t="s">
        <v>43</v>
      </c>
      <c r="B44" s="23" t="s">
        <v>44</v>
      </c>
      <c r="C44" s="22">
        <v>29984.356</v>
      </c>
      <c r="D44" s="24"/>
      <c r="E44" s="1">
        <f t="shared" si="0"/>
        <v>1851.9705543806133</v>
      </c>
      <c r="F44" s="1">
        <f t="shared" si="1"/>
        <v>1852</v>
      </c>
      <c r="G44" s="1">
        <f t="shared" si="2"/>
        <v>-2.7617600000667153E-2</v>
      </c>
      <c r="H44" s="1">
        <f t="shared" si="4"/>
        <v>-2.7617600000667153E-2</v>
      </c>
      <c r="O44" s="1">
        <f t="shared" ca="1" si="5"/>
        <v>-3.1400502776920518E-3</v>
      </c>
      <c r="Q44" s="56">
        <f t="shared" si="3"/>
        <v>14965.856</v>
      </c>
    </row>
    <row r="45" spans="1:17" x14ac:dyDescent="0.2">
      <c r="A45" s="22" t="s">
        <v>43</v>
      </c>
      <c r="B45" s="23" t="s">
        <v>44</v>
      </c>
      <c r="C45" s="22">
        <v>29984.383999999998</v>
      </c>
      <c r="D45" s="24"/>
      <c r="E45" s="1">
        <f t="shared" si="0"/>
        <v>1852.0004077111985</v>
      </c>
      <c r="F45" s="1">
        <f t="shared" si="1"/>
        <v>1852</v>
      </c>
      <c r="G45" s="1">
        <f t="shared" si="2"/>
        <v>3.8239999776124023E-4</v>
      </c>
      <c r="H45" s="1">
        <f t="shared" si="4"/>
        <v>3.8239999776124023E-4</v>
      </c>
      <c r="O45" s="1">
        <f t="shared" ca="1" si="5"/>
        <v>-3.1400502776920518E-3</v>
      </c>
      <c r="Q45" s="56">
        <f t="shared" si="3"/>
        <v>14965.883999999998</v>
      </c>
    </row>
    <row r="46" spans="1:17" x14ac:dyDescent="0.2">
      <c r="A46" s="22" t="s">
        <v>43</v>
      </c>
      <c r="B46" s="23" t="s">
        <v>44</v>
      </c>
      <c r="C46" s="22">
        <v>32884.466999999997</v>
      </c>
      <c r="D46" s="24"/>
      <c r="E46" s="1">
        <f t="shared" si="0"/>
        <v>4944.0409980053673</v>
      </c>
      <c r="F46" s="1">
        <f t="shared" si="1"/>
        <v>4944</v>
      </c>
      <c r="G46" s="1">
        <f t="shared" si="2"/>
        <v>3.845279999950435E-2</v>
      </c>
      <c r="H46" s="1">
        <f t="shared" si="4"/>
        <v>3.845279999950435E-2</v>
      </c>
      <c r="O46" s="1">
        <f t="shared" ca="1" si="5"/>
        <v>1.7130733058788004E-3</v>
      </c>
      <c r="Q46" s="56">
        <f t="shared" si="3"/>
        <v>17865.966999999997</v>
      </c>
    </row>
    <row r="47" spans="1:17" x14ac:dyDescent="0.2">
      <c r="A47" s="22" t="s">
        <v>43</v>
      </c>
      <c r="B47" s="23" t="s">
        <v>44</v>
      </c>
      <c r="C47" s="22">
        <v>33246.476000000002</v>
      </c>
      <c r="D47" s="24"/>
      <c r="E47" s="1">
        <f t="shared" si="0"/>
        <v>5330.0115105913237</v>
      </c>
      <c r="F47" s="1">
        <f t="shared" si="1"/>
        <v>5330</v>
      </c>
      <c r="G47" s="1">
        <f t="shared" si="2"/>
        <v>1.0796000002301298E-2</v>
      </c>
      <c r="H47" s="1">
        <f t="shared" si="4"/>
        <v>1.0796000002301298E-2</v>
      </c>
      <c r="O47" s="1">
        <f t="shared" ca="1" si="5"/>
        <v>2.3189289666997424E-3</v>
      </c>
      <c r="Q47" s="56">
        <f t="shared" si="3"/>
        <v>18227.976000000002</v>
      </c>
    </row>
    <row r="48" spans="1:17" x14ac:dyDescent="0.2">
      <c r="A48" s="22" t="s">
        <v>43</v>
      </c>
      <c r="B48" s="23" t="s">
        <v>44</v>
      </c>
      <c r="C48" s="22">
        <v>34682.425999999999</v>
      </c>
      <c r="D48" s="24"/>
      <c r="E48" s="1">
        <f t="shared" si="0"/>
        <v>6861.0075840253967</v>
      </c>
      <c r="F48" s="1">
        <f t="shared" si="1"/>
        <v>6861</v>
      </c>
      <c r="G48" s="1">
        <f t="shared" si="2"/>
        <v>7.1132000011857599E-3</v>
      </c>
      <c r="H48" s="1">
        <f t="shared" si="4"/>
        <v>7.1132000011857599E-3</v>
      </c>
      <c r="O48" s="1">
        <f t="shared" ca="1" si="5"/>
        <v>4.7219471447226963E-3</v>
      </c>
      <c r="Q48" s="56">
        <f t="shared" si="3"/>
        <v>19663.925999999999</v>
      </c>
    </row>
    <row r="49" spans="1:31" x14ac:dyDescent="0.2">
      <c r="A49" s="22" t="s">
        <v>43</v>
      </c>
      <c r="B49" s="23" t="s">
        <v>44</v>
      </c>
      <c r="C49" s="22">
        <v>35845.423999999999</v>
      </c>
      <c r="D49" s="24"/>
      <c r="E49" s="1">
        <f t="shared" si="0"/>
        <v>8100.9848613760578</v>
      </c>
      <c r="F49" s="1">
        <f t="shared" si="1"/>
        <v>8101</v>
      </c>
      <c r="G49" s="1">
        <f t="shared" si="2"/>
        <v>-1.4198800003214274E-2</v>
      </c>
      <c r="H49" s="1">
        <f t="shared" si="4"/>
        <v>-1.4198800003214274E-2</v>
      </c>
      <c r="O49" s="1">
        <f t="shared" ca="1" si="5"/>
        <v>6.6682192157536974E-3</v>
      </c>
      <c r="Q49" s="56">
        <f t="shared" si="3"/>
        <v>20826.923999999999</v>
      </c>
    </row>
    <row r="50" spans="1:31" x14ac:dyDescent="0.2">
      <c r="A50" s="22" t="s">
        <v>43</v>
      </c>
      <c r="B50" s="23" t="s">
        <v>44</v>
      </c>
      <c r="C50" s="22">
        <v>35892.31</v>
      </c>
      <c r="D50" s="24"/>
      <c r="E50" s="1">
        <f t="shared" si="0"/>
        <v>8150.974263443698</v>
      </c>
      <c r="F50" s="1">
        <f t="shared" si="1"/>
        <v>8151</v>
      </c>
      <c r="G50" s="1">
        <f t="shared" si="2"/>
        <v>-2.4138799999491312E-2</v>
      </c>
      <c r="H50" s="1">
        <f t="shared" si="4"/>
        <v>-2.4138799999491312E-2</v>
      </c>
      <c r="O50" s="1">
        <f t="shared" ca="1" si="5"/>
        <v>6.7466979282952699E-3</v>
      </c>
      <c r="Q50" s="56">
        <f t="shared" si="3"/>
        <v>20873.809999999998</v>
      </c>
    </row>
    <row r="51" spans="1:31" x14ac:dyDescent="0.2">
      <c r="A51" s="22" t="s">
        <v>43</v>
      </c>
      <c r="B51" s="23" t="s">
        <v>44</v>
      </c>
      <c r="C51" s="22">
        <v>35893.296999999999</v>
      </c>
      <c r="D51" s="24"/>
      <c r="E51" s="1">
        <f t="shared" si="0"/>
        <v>8152.0265933468845</v>
      </c>
      <c r="F51" s="1">
        <f t="shared" si="1"/>
        <v>8152</v>
      </c>
      <c r="G51" s="1">
        <f t="shared" si="2"/>
        <v>2.494239999941783E-2</v>
      </c>
      <c r="H51" s="1">
        <f t="shared" si="4"/>
        <v>2.494239999941783E-2</v>
      </c>
      <c r="O51" s="1">
        <f t="shared" ca="1" si="5"/>
        <v>6.7482675025461025E-3</v>
      </c>
      <c r="Q51" s="56">
        <f t="shared" si="3"/>
        <v>20874.796999999999</v>
      </c>
    </row>
    <row r="52" spans="1:31" x14ac:dyDescent="0.2">
      <c r="A52" s="22" t="s">
        <v>43</v>
      </c>
      <c r="B52" s="23" t="s">
        <v>44</v>
      </c>
      <c r="C52" s="22">
        <v>36144.627999999997</v>
      </c>
      <c r="D52" s="24"/>
      <c r="E52" s="1">
        <f t="shared" si="0"/>
        <v>8419.9932872653753</v>
      </c>
      <c r="F52" s="1">
        <f t="shared" si="1"/>
        <v>8420</v>
      </c>
      <c r="G52" s="1">
        <f t="shared" si="2"/>
        <v>-6.2960000068414956E-3</v>
      </c>
      <c r="H52" s="1">
        <f t="shared" si="4"/>
        <v>-6.2960000068414956E-3</v>
      </c>
      <c r="O52" s="1">
        <f t="shared" ca="1" si="5"/>
        <v>7.1689134017689313E-3</v>
      </c>
      <c r="Q52" s="56">
        <f t="shared" si="3"/>
        <v>21126.127999999997</v>
      </c>
    </row>
    <row r="53" spans="1:31" x14ac:dyDescent="0.2">
      <c r="A53" s="22" t="s">
        <v>46</v>
      </c>
      <c r="B53" s="23" t="s">
        <v>44</v>
      </c>
      <c r="C53" s="22">
        <v>48520.502</v>
      </c>
      <c r="D53" s="24"/>
      <c r="E53" s="1">
        <f t="shared" si="0"/>
        <v>21615.031066655236</v>
      </c>
      <c r="F53" s="1">
        <f t="shared" si="1"/>
        <v>21615</v>
      </c>
      <c r="G53" s="1">
        <f t="shared" si="2"/>
        <v>2.913799999805633E-2</v>
      </c>
      <c r="H53" s="1">
        <f t="shared" si="4"/>
        <v>2.913799999805633E-2</v>
      </c>
      <c r="O53" s="1">
        <f t="shared" ca="1" si="5"/>
        <v>2.7879445641489954E-2</v>
      </c>
      <c r="Q53" s="56">
        <f t="shared" si="3"/>
        <v>33502.002</v>
      </c>
    </row>
    <row r="54" spans="1:31" x14ac:dyDescent="0.2">
      <c r="A54" s="1" t="s">
        <v>47</v>
      </c>
      <c r="C54" s="24">
        <v>50850.302000000003</v>
      </c>
      <c r="D54" s="24">
        <v>2E-3</v>
      </c>
      <c r="E54" s="1">
        <f t="shared" si="0"/>
        <v>24099.041409554859</v>
      </c>
      <c r="F54" s="1">
        <f t="shared" si="1"/>
        <v>24099</v>
      </c>
      <c r="G54" s="1">
        <f t="shared" si="2"/>
        <v>3.8838800006487872E-2</v>
      </c>
      <c r="I54" s="1">
        <f>G54</f>
        <v>3.8838800006487872E-2</v>
      </c>
      <c r="O54" s="1">
        <f t="shared" ca="1" si="5"/>
        <v>3.1778268080555283E-2</v>
      </c>
      <c r="Q54" s="56">
        <f t="shared" si="3"/>
        <v>35831.802000000003</v>
      </c>
    </row>
    <row r="55" spans="1:31" x14ac:dyDescent="0.2">
      <c r="A55" s="22" t="s">
        <v>48</v>
      </c>
      <c r="B55" s="23" t="s">
        <v>44</v>
      </c>
      <c r="C55" s="22">
        <v>52193.387999999999</v>
      </c>
      <c r="D55" s="24"/>
      <c r="E55" s="1">
        <f t="shared" si="0"/>
        <v>25531.026779716962</v>
      </c>
      <c r="F55" s="1">
        <f t="shared" si="1"/>
        <v>25531</v>
      </c>
      <c r="G55" s="1">
        <f t="shared" si="2"/>
        <v>2.5117199998931028E-2</v>
      </c>
      <c r="I55" s="1">
        <f>G55</f>
        <v>2.5117199998931028E-2</v>
      </c>
      <c r="O55" s="1">
        <f t="shared" ca="1" si="5"/>
        <v>3.4025898407745926E-2</v>
      </c>
      <c r="Q55" s="56">
        <f t="shared" si="3"/>
        <v>37174.887999999999</v>
      </c>
    </row>
    <row r="56" spans="1:31" x14ac:dyDescent="0.2">
      <c r="A56" s="26" t="s">
        <v>49</v>
      </c>
      <c r="B56" s="27"/>
      <c r="C56" s="24">
        <v>52931.539900000003</v>
      </c>
      <c r="D56" s="24">
        <v>4.0000000000000002E-4</v>
      </c>
      <c r="E56" s="1">
        <f t="shared" ref="E56:E68" si="6">+(C56-C$7)/C$8</f>
        <v>26318.037233073908</v>
      </c>
      <c r="F56" s="1">
        <f t="shared" ref="F56:F69" si="7">ROUND(2*E56,0)/2</f>
        <v>26318</v>
      </c>
      <c r="G56" s="1">
        <f t="shared" ref="G56:G68" si="8">+C56-(C$7+F56*C$8)</f>
        <v>3.4921600003144704E-2</v>
      </c>
      <c r="J56" s="1">
        <f>G56</f>
        <v>3.4921600003144704E-2</v>
      </c>
      <c r="O56" s="1">
        <f t="shared" ref="O56:O68" ca="1" si="9">+C$11+C$12*F56</f>
        <v>3.5261153343150275E-2</v>
      </c>
      <c r="Q56" s="56">
        <f t="shared" ref="Q56:Q68" si="10">+C56-15018.5</f>
        <v>37913.039900000003</v>
      </c>
    </row>
    <row r="57" spans="1:31" x14ac:dyDescent="0.2">
      <c r="A57" s="3" t="s">
        <v>50</v>
      </c>
      <c r="C57" s="28">
        <v>52973.743999999999</v>
      </c>
      <c r="D57" s="24">
        <v>4.0000000000000002E-4</v>
      </c>
      <c r="E57" s="1">
        <f t="shared" si="6"/>
        <v>26363.034838410316</v>
      </c>
      <c r="F57" s="1">
        <f t="shared" si="7"/>
        <v>26363</v>
      </c>
      <c r="G57" s="1">
        <f t="shared" si="8"/>
        <v>3.267559999221703E-2</v>
      </c>
      <c r="K57" s="1">
        <f>G57</f>
        <v>3.267559999221703E-2</v>
      </c>
      <c r="O57" s="1">
        <f t="shared" ca="1" si="9"/>
        <v>3.5331784184437692E-2</v>
      </c>
      <c r="Q57" s="56">
        <f t="shared" si="10"/>
        <v>37955.243999999999</v>
      </c>
      <c r="AA57" s="1">
        <v>31</v>
      </c>
      <c r="AC57" s="1" t="s">
        <v>51</v>
      </c>
      <c r="AE57" s="1" t="s">
        <v>52</v>
      </c>
    </row>
    <row r="58" spans="1:31" x14ac:dyDescent="0.2">
      <c r="A58" s="26" t="s">
        <v>53</v>
      </c>
      <c r="B58" s="29"/>
      <c r="C58" s="24">
        <v>53447.403200000001</v>
      </c>
      <c r="D58" s="24">
        <v>9.7000000000000003E-3</v>
      </c>
      <c r="E58" s="1">
        <f t="shared" si="6"/>
        <v>26868.045719949318</v>
      </c>
      <c r="F58" s="1">
        <f t="shared" si="7"/>
        <v>26868</v>
      </c>
      <c r="G58" s="1">
        <f t="shared" si="8"/>
        <v>4.2881599998509046E-2</v>
      </c>
      <c r="J58" s="1">
        <f>G58</f>
        <v>4.2881599998509046E-2</v>
      </c>
      <c r="O58" s="1">
        <f t="shared" ca="1" si="9"/>
        <v>3.6124419181107578E-2</v>
      </c>
      <c r="Q58" s="56">
        <f t="shared" si="10"/>
        <v>38428.903200000001</v>
      </c>
      <c r="R58" s="1" t="s">
        <v>34</v>
      </c>
      <c r="U58" s="11"/>
    </row>
    <row r="59" spans="1:31" x14ac:dyDescent="0.2">
      <c r="A59" s="30" t="s">
        <v>54</v>
      </c>
      <c r="B59" s="31"/>
      <c r="C59" s="30">
        <v>53751.2817</v>
      </c>
      <c r="D59" s="30">
        <v>5.0000000000000001E-4</v>
      </c>
      <c r="E59" s="1">
        <f t="shared" si="6"/>
        <v>27192.038052761069</v>
      </c>
      <c r="F59" s="1">
        <f t="shared" si="7"/>
        <v>27192</v>
      </c>
      <c r="G59" s="1">
        <f t="shared" si="8"/>
        <v>3.5690400000021327E-2</v>
      </c>
      <c r="J59" s="1">
        <f>G59</f>
        <v>3.5690400000021327E-2</v>
      </c>
      <c r="O59" s="1">
        <f t="shared" ca="1" si="9"/>
        <v>3.663296123837697E-2</v>
      </c>
      <c r="Q59" s="56">
        <f t="shared" si="10"/>
        <v>38732.7817</v>
      </c>
    </row>
    <row r="60" spans="1:31" x14ac:dyDescent="0.2">
      <c r="A60" s="30" t="s">
        <v>55</v>
      </c>
      <c r="B60" s="32" t="s">
        <v>44</v>
      </c>
      <c r="C60" s="30">
        <v>54173.353000000003</v>
      </c>
      <c r="D60" s="30">
        <v>2.9999999999999997E-4</v>
      </c>
      <c r="E60" s="1">
        <f t="shared" si="6"/>
        <v>27642.046411693635</v>
      </c>
      <c r="F60" s="1">
        <f t="shared" si="7"/>
        <v>27642</v>
      </c>
      <c r="G60" s="1">
        <f t="shared" si="8"/>
        <v>4.3530399998417124E-2</v>
      </c>
      <c r="J60" s="1">
        <f>G60</f>
        <v>4.3530399998417124E-2</v>
      </c>
      <c r="O60" s="1">
        <f t="shared" ca="1" si="9"/>
        <v>3.7339269651251124E-2</v>
      </c>
      <c r="Q60" s="56">
        <f t="shared" si="10"/>
        <v>39154.853000000003</v>
      </c>
    </row>
    <row r="61" spans="1:31" x14ac:dyDescent="0.2">
      <c r="A61" s="30" t="s">
        <v>56</v>
      </c>
      <c r="B61" s="32" t="s">
        <v>44</v>
      </c>
      <c r="C61" s="30">
        <v>54832.7045</v>
      </c>
      <c r="D61" s="30">
        <v>1.1999999999999999E-3</v>
      </c>
      <c r="E61" s="1">
        <f t="shared" si="6"/>
        <v>28345.040636780068</v>
      </c>
      <c r="F61" s="1">
        <f t="shared" si="7"/>
        <v>28345</v>
      </c>
      <c r="G61" s="1">
        <f t="shared" si="8"/>
        <v>3.8114000002678949E-2</v>
      </c>
      <c r="K61" s="1">
        <f>G61</f>
        <v>3.8114000002678949E-2</v>
      </c>
      <c r="O61" s="1">
        <f t="shared" ca="1" si="9"/>
        <v>3.8442680349585631E-2</v>
      </c>
      <c r="Q61" s="56">
        <f t="shared" si="10"/>
        <v>39814.2045</v>
      </c>
    </row>
    <row r="62" spans="1:31" x14ac:dyDescent="0.2">
      <c r="A62" s="33" t="s">
        <v>57</v>
      </c>
      <c r="B62" s="34" t="s">
        <v>44</v>
      </c>
      <c r="C62" s="33">
        <v>54849.592700000001</v>
      </c>
      <c r="D62" s="33">
        <v>1E-4</v>
      </c>
      <c r="E62" s="1">
        <f t="shared" si="6"/>
        <v>28363.046673123514</v>
      </c>
      <c r="F62" s="1">
        <f t="shared" si="7"/>
        <v>28363</v>
      </c>
      <c r="G62" s="1">
        <f t="shared" si="8"/>
        <v>4.3775599995569792E-2</v>
      </c>
      <c r="K62" s="1">
        <f>G62</f>
        <v>4.3775599995569792E-2</v>
      </c>
      <c r="O62" s="1">
        <f t="shared" ca="1" si="9"/>
        <v>3.8470932686100599E-2</v>
      </c>
      <c r="Q62" s="56">
        <f t="shared" si="10"/>
        <v>39831.092700000001</v>
      </c>
    </row>
    <row r="63" spans="1:31" x14ac:dyDescent="0.2">
      <c r="A63" s="33" t="s">
        <v>58</v>
      </c>
      <c r="B63" s="34" t="s">
        <v>44</v>
      </c>
      <c r="C63" s="33">
        <v>55240.701800000003</v>
      </c>
      <c r="D63" s="33">
        <v>2.9999999999999997E-4</v>
      </c>
      <c r="E63" s="1">
        <f t="shared" si="6"/>
        <v>28780.043432331244</v>
      </c>
      <c r="F63" s="1">
        <f t="shared" si="7"/>
        <v>28780</v>
      </c>
      <c r="G63" s="1">
        <f t="shared" si="8"/>
        <v>4.0736000002652872E-2</v>
      </c>
      <c r="K63" s="1">
        <f>G63</f>
        <v>4.0736000002652872E-2</v>
      </c>
      <c r="O63" s="1">
        <f t="shared" ca="1" si="9"/>
        <v>3.9125445148697313E-2</v>
      </c>
      <c r="Q63" s="56">
        <f t="shared" si="10"/>
        <v>40222.201800000003</v>
      </c>
    </row>
    <row r="64" spans="1:31" ht="12" customHeight="1" x14ac:dyDescent="0.2">
      <c r="A64" s="33" t="s">
        <v>59</v>
      </c>
      <c r="B64" s="34" t="s">
        <v>44</v>
      </c>
      <c r="C64" s="33">
        <v>55572.723400000003</v>
      </c>
      <c r="D64" s="33">
        <v>2.9999999999999997E-4</v>
      </c>
      <c r="E64" s="1">
        <f t="shared" si="6"/>
        <v>29134.041667572928</v>
      </c>
      <c r="F64" s="1">
        <f t="shared" si="7"/>
        <v>29134</v>
      </c>
      <c r="G64" s="1">
        <f t="shared" si="8"/>
        <v>3.9080800001102034E-2</v>
      </c>
      <c r="K64" s="1">
        <f>G64</f>
        <v>3.9080800001102034E-2</v>
      </c>
      <c r="O64" s="1">
        <f t="shared" ca="1" si="9"/>
        <v>3.9681074433491649E-2</v>
      </c>
      <c r="Q64" s="56">
        <f t="shared" si="10"/>
        <v>40554.223400000003</v>
      </c>
    </row>
    <row r="65" spans="1:17" ht="12" customHeight="1" x14ac:dyDescent="0.2">
      <c r="A65" s="35" t="s">
        <v>60</v>
      </c>
      <c r="B65" s="32" t="s">
        <v>44</v>
      </c>
      <c r="C65" s="30">
        <v>56298.670299999998</v>
      </c>
      <c r="D65" s="30">
        <v>2.0000000000000001E-4</v>
      </c>
      <c r="E65" s="1">
        <f t="shared" si="6"/>
        <v>29908.039267365144</v>
      </c>
      <c r="F65" s="1">
        <f t="shared" si="7"/>
        <v>29908</v>
      </c>
      <c r="G65" s="1">
        <f t="shared" si="8"/>
        <v>3.6829599994234741E-2</v>
      </c>
      <c r="K65" s="1">
        <f>G65</f>
        <v>3.6829599994234741E-2</v>
      </c>
      <c r="O65" s="1">
        <f t="shared" ca="1" si="9"/>
        <v>4.0895924903635195E-2</v>
      </c>
      <c r="Q65" s="56">
        <f t="shared" si="10"/>
        <v>41280.170299999998</v>
      </c>
    </row>
    <row r="66" spans="1:17" ht="12" customHeight="1" x14ac:dyDescent="0.2">
      <c r="A66" s="30" t="s">
        <v>61</v>
      </c>
      <c r="B66" s="32" t="s">
        <v>44</v>
      </c>
      <c r="C66" s="30">
        <v>56334.310899999997</v>
      </c>
      <c r="D66" s="30">
        <v>3.5000000000000001E-3</v>
      </c>
      <c r="E66" s="1">
        <f t="shared" si="6"/>
        <v>29946.03893215489</v>
      </c>
      <c r="F66" s="1">
        <f t="shared" si="7"/>
        <v>29946</v>
      </c>
      <c r="G66" s="1">
        <f t="shared" si="8"/>
        <v>3.651519999402808E-2</v>
      </c>
      <c r="J66" s="1">
        <f>G66</f>
        <v>3.651519999402808E-2</v>
      </c>
      <c r="O66" s="1">
        <f t="shared" ca="1" si="9"/>
        <v>4.0955568725166792E-2</v>
      </c>
      <c r="Q66" s="56">
        <f t="shared" si="10"/>
        <v>41315.810899999997</v>
      </c>
    </row>
    <row r="67" spans="1:17" ht="12" customHeight="1" x14ac:dyDescent="0.2">
      <c r="A67" s="36" t="s">
        <v>62</v>
      </c>
      <c r="B67" s="37"/>
      <c r="C67" s="36">
        <v>56935.516799999998</v>
      </c>
      <c r="D67" s="36">
        <v>4.0000000000000002E-4</v>
      </c>
      <c r="E67" s="1">
        <f t="shared" si="6"/>
        <v>30587.038877992418</v>
      </c>
      <c r="F67" s="1">
        <f t="shared" si="7"/>
        <v>30587</v>
      </c>
      <c r="G67" s="1">
        <f t="shared" si="8"/>
        <v>3.6464399992837571E-2</v>
      </c>
      <c r="J67" s="1">
        <f>G67</f>
        <v>3.6464399992837571E-2</v>
      </c>
      <c r="O67" s="1">
        <f t="shared" ca="1" si="9"/>
        <v>4.1961665819949749E-2</v>
      </c>
      <c r="Q67" s="56">
        <f t="shared" si="10"/>
        <v>41917.016799999998</v>
      </c>
    </row>
    <row r="68" spans="1:17" ht="12" customHeight="1" x14ac:dyDescent="0.2">
      <c r="A68" s="38" t="s">
        <v>63</v>
      </c>
      <c r="B68" s="39" t="s">
        <v>44</v>
      </c>
      <c r="C68" s="38">
        <v>58423.069000000134</v>
      </c>
      <c r="D68" s="38" t="s">
        <v>15</v>
      </c>
      <c r="E68" s="1">
        <f t="shared" si="6"/>
        <v>32173.052720555483</v>
      </c>
      <c r="F68" s="1">
        <f t="shared" si="7"/>
        <v>32173</v>
      </c>
      <c r="G68" s="1">
        <f t="shared" si="8"/>
        <v>4.9447600133134983E-2</v>
      </c>
      <c r="I68" s="1">
        <f>G68</f>
        <v>4.9447600133134983E-2</v>
      </c>
      <c r="O68" s="1">
        <f t="shared" ca="1" si="9"/>
        <v>4.4451010581768438E-2</v>
      </c>
      <c r="Q68" s="56">
        <f t="shared" si="10"/>
        <v>43404.569000000134</v>
      </c>
    </row>
    <row r="69" spans="1:17" ht="12" customHeight="1" x14ac:dyDescent="0.2">
      <c r="A69" s="40" t="s">
        <v>64</v>
      </c>
      <c r="B69" s="41" t="s">
        <v>44</v>
      </c>
      <c r="C69" s="42">
        <v>57755.269979999866</v>
      </c>
      <c r="D69" s="42">
        <v>4.0000000000000002E-4</v>
      </c>
      <c r="E69" s="1">
        <f>+(C69-C$7)/C$8</f>
        <v>31461.051830925946</v>
      </c>
      <c r="F69" s="1">
        <f t="shared" si="7"/>
        <v>31461</v>
      </c>
      <c r="G69" s="1">
        <f>+C69-(C$7+F69*C$8)</f>
        <v>4.8613199862302281E-2</v>
      </c>
      <c r="K69" s="1">
        <f>G69</f>
        <v>4.8613199862302281E-2</v>
      </c>
      <c r="O69" s="1">
        <f ca="1">+C$11+C$12*F69</f>
        <v>4.3333473715176443E-2</v>
      </c>
      <c r="Q69" s="56">
        <f>+C69-15018.5</f>
        <v>42736.769979999866</v>
      </c>
    </row>
    <row r="70" spans="1:17" ht="12" customHeight="1" x14ac:dyDescent="0.2">
      <c r="A70" s="57" t="s">
        <v>254</v>
      </c>
      <c r="B70" s="58" t="s">
        <v>44</v>
      </c>
      <c r="C70" s="59">
        <v>59607.652999999998</v>
      </c>
      <c r="D70" s="60">
        <v>2.5999999999999999E-3</v>
      </c>
      <c r="E70" s="1">
        <f>+(C70-C$7)/C$8</f>
        <v>33436.044783407684</v>
      </c>
      <c r="F70" s="1">
        <f t="shared" ref="F70" si="11">ROUND(2*E70,0)/2</f>
        <v>33436</v>
      </c>
      <c r="G70" s="1">
        <f>+C70-(C$7+F70*C$8)</f>
        <v>4.2003199996543117E-2</v>
      </c>
      <c r="K70" s="1">
        <f>G70</f>
        <v>4.2003199996543117E-2</v>
      </c>
      <c r="O70" s="1">
        <f ca="1">+C$11+C$12*F70</f>
        <v>4.6433382860568563E-2</v>
      </c>
      <c r="Q70" s="56">
        <f>+C70-15018.5</f>
        <v>44589.152999999998</v>
      </c>
    </row>
    <row r="71" spans="1:17" ht="12" customHeight="1" x14ac:dyDescent="0.2">
      <c r="C71" s="24"/>
      <c r="D71" s="24"/>
    </row>
    <row r="72" spans="1:17" ht="12" customHeight="1" x14ac:dyDescent="0.2">
      <c r="C72" s="24"/>
      <c r="D72" s="24"/>
    </row>
    <row r="73" spans="1:17" ht="12" customHeight="1" x14ac:dyDescent="0.2">
      <c r="C73" s="24"/>
      <c r="D73" s="24"/>
    </row>
    <row r="74" spans="1:17" ht="12" customHeight="1" x14ac:dyDescent="0.2">
      <c r="C74" s="24"/>
      <c r="D74" s="24"/>
    </row>
    <row r="75" spans="1:17" ht="12" customHeight="1" x14ac:dyDescent="0.2">
      <c r="C75" s="24"/>
      <c r="D75" s="24"/>
    </row>
    <row r="76" spans="1:17" ht="12" customHeight="1" x14ac:dyDescent="0.2">
      <c r="C76" s="24"/>
      <c r="D76" s="24"/>
    </row>
    <row r="77" spans="1:17" ht="12" customHeight="1" x14ac:dyDescent="0.2">
      <c r="C77" s="24"/>
      <c r="D77" s="24"/>
    </row>
    <row r="78" spans="1:17" x14ac:dyDescent="0.2">
      <c r="C78" s="24"/>
      <c r="D78" s="24"/>
    </row>
    <row r="79" spans="1:17" x14ac:dyDescent="0.2">
      <c r="C79" s="24"/>
      <c r="D79" s="24"/>
    </row>
    <row r="80" spans="1:17" x14ac:dyDescent="0.2">
      <c r="C80" s="24"/>
      <c r="D80" s="24"/>
    </row>
    <row r="81" spans="3:4" x14ac:dyDescent="0.2">
      <c r="C81" s="24"/>
      <c r="D81" s="24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6"/>
  <sheetViews>
    <sheetView topLeftCell="A8" workbookViewId="0">
      <selection activeCell="A24" sqref="A24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3" t="s">
        <v>65</v>
      </c>
      <c r="I1" s="44" t="s">
        <v>66</v>
      </c>
      <c r="J1" s="45" t="s">
        <v>35</v>
      </c>
    </row>
    <row r="2" spans="1:16" x14ac:dyDescent="0.2">
      <c r="I2" s="46" t="s">
        <v>67</v>
      </c>
      <c r="J2" s="47" t="s">
        <v>34</v>
      </c>
    </row>
    <row r="3" spans="1:16" x14ac:dyDescent="0.2">
      <c r="A3" s="48" t="s">
        <v>68</v>
      </c>
      <c r="I3" s="46" t="s">
        <v>69</v>
      </c>
      <c r="J3" s="47" t="s">
        <v>32</v>
      </c>
    </row>
    <row r="4" spans="1:16" x14ac:dyDescent="0.2">
      <c r="I4" s="46" t="s">
        <v>70</v>
      </c>
      <c r="J4" s="47" t="s">
        <v>32</v>
      </c>
    </row>
    <row r="5" spans="1:16" x14ac:dyDescent="0.2">
      <c r="I5" s="49" t="s">
        <v>71</v>
      </c>
      <c r="J5" s="50" t="s">
        <v>33</v>
      </c>
    </row>
    <row r="11" spans="1:16" ht="12.75" customHeight="1" x14ac:dyDescent="0.2">
      <c r="A11" s="24" t="str">
        <f t="shared" ref="A11:A56" si="0">P11</f>
        <v> BBS 117 </v>
      </c>
      <c r="B11" s="14" t="str">
        <f t="shared" ref="B11:B56" si="1">IF(H11=INT(H11),"I","II")</f>
        <v>I</v>
      </c>
      <c r="C11" s="24">
        <f t="shared" ref="C11:C56" si="2">1*G11</f>
        <v>50850.302000000003</v>
      </c>
      <c r="D11" t="str">
        <f t="shared" ref="D11:D56" si="3">VLOOKUP(F11,I$1:J$5,2,FALSE)</f>
        <v>vis</v>
      </c>
      <c r="E11">
        <f>VLOOKUP(C11,Active!C$21:E$973,3,FALSE)</f>
        <v>24099.041409554859</v>
      </c>
      <c r="F11" s="14" t="s">
        <v>71</v>
      </c>
      <c r="G11" t="str">
        <f t="shared" ref="G11:G56" si="4">MID(I11,3,LEN(I11)-3)</f>
        <v>50850.302</v>
      </c>
      <c r="H11" s="24">
        <f t="shared" ref="H11:H56" si="5">1*K11</f>
        <v>24099</v>
      </c>
      <c r="I11" s="51" t="s">
        <v>72</v>
      </c>
      <c r="J11" s="52" t="s">
        <v>73</v>
      </c>
      <c r="K11" s="51">
        <v>24099</v>
      </c>
      <c r="L11" s="51" t="s">
        <v>74</v>
      </c>
      <c r="M11" s="52" t="s">
        <v>75</v>
      </c>
      <c r="N11" s="52" t="s">
        <v>76</v>
      </c>
      <c r="O11" s="53" t="s">
        <v>77</v>
      </c>
      <c r="P11" s="53" t="s">
        <v>78</v>
      </c>
    </row>
    <row r="12" spans="1:16" ht="12.75" customHeight="1" x14ac:dyDescent="0.2">
      <c r="A12" s="24" t="str">
        <f t="shared" si="0"/>
        <v>BAVM 172 </v>
      </c>
      <c r="B12" s="14" t="str">
        <f t="shared" si="1"/>
        <v>I</v>
      </c>
      <c r="C12" s="24">
        <f t="shared" si="2"/>
        <v>52931.539900000003</v>
      </c>
      <c r="D12" t="str">
        <f t="shared" si="3"/>
        <v>vis</v>
      </c>
      <c r="E12">
        <f>VLOOKUP(C12,Active!C$21:E$973,3,FALSE)</f>
        <v>26318.037233073908</v>
      </c>
      <c r="F12" s="14" t="s">
        <v>71</v>
      </c>
      <c r="G12" t="str">
        <f t="shared" si="4"/>
        <v>52931.5399</v>
      </c>
      <c r="H12" s="24">
        <f t="shared" si="5"/>
        <v>26318</v>
      </c>
      <c r="I12" s="51" t="s">
        <v>79</v>
      </c>
      <c r="J12" s="52" t="s">
        <v>80</v>
      </c>
      <c r="K12" s="51">
        <v>26318</v>
      </c>
      <c r="L12" s="51" t="s">
        <v>81</v>
      </c>
      <c r="M12" s="52" t="s">
        <v>75</v>
      </c>
      <c r="N12" s="52" t="s">
        <v>82</v>
      </c>
      <c r="O12" s="53" t="s">
        <v>83</v>
      </c>
      <c r="P12" s="54" t="s">
        <v>84</v>
      </c>
    </row>
    <row r="13" spans="1:16" ht="12.75" customHeight="1" x14ac:dyDescent="0.2">
      <c r="A13" s="24" t="str">
        <f t="shared" si="0"/>
        <v>IBVS 5493 </v>
      </c>
      <c r="B13" s="14" t="str">
        <f t="shared" si="1"/>
        <v>I</v>
      </c>
      <c r="C13" s="24">
        <f t="shared" si="2"/>
        <v>52973.743999999999</v>
      </c>
      <c r="D13" t="str">
        <f t="shared" si="3"/>
        <v>vis</v>
      </c>
      <c r="E13">
        <f>VLOOKUP(C13,Active!C$21:E$973,3,FALSE)</f>
        <v>26363.034838410316</v>
      </c>
      <c r="F13" s="14" t="s">
        <v>71</v>
      </c>
      <c r="G13" t="str">
        <f t="shared" si="4"/>
        <v>52973.744</v>
      </c>
      <c r="H13" s="24">
        <f t="shared" si="5"/>
        <v>26363</v>
      </c>
      <c r="I13" s="51" t="s">
        <v>85</v>
      </c>
      <c r="J13" s="52" t="s">
        <v>86</v>
      </c>
      <c r="K13" s="51" t="s">
        <v>87</v>
      </c>
      <c r="L13" s="51" t="s">
        <v>88</v>
      </c>
      <c r="M13" s="52" t="s">
        <v>75</v>
      </c>
      <c r="N13" s="52" t="s">
        <v>76</v>
      </c>
      <c r="O13" s="53" t="s">
        <v>89</v>
      </c>
      <c r="P13" s="54" t="s">
        <v>90</v>
      </c>
    </row>
    <row r="14" spans="1:16" ht="12.75" customHeight="1" x14ac:dyDescent="0.2">
      <c r="A14" s="24" t="str">
        <f t="shared" si="0"/>
        <v>BAVM 173 </v>
      </c>
      <c r="B14" s="14" t="str">
        <f t="shared" si="1"/>
        <v>I</v>
      </c>
      <c r="C14" s="24">
        <f t="shared" si="2"/>
        <v>53447.403200000001</v>
      </c>
      <c r="D14" t="str">
        <f t="shared" si="3"/>
        <v>vis</v>
      </c>
      <c r="E14">
        <f>VLOOKUP(C14,Active!C$21:E$973,3,FALSE)</f>
        <v>26868.045719949318</v>
      </c>
      <c r="F14" s="14" t="s">
        <v>71</v>
      </c>
      <c r="G14" t="str">
        <f t="shared" si="4"/>
        <v>53447.4032</v>
      </c>
      <c r="H14" s="24">
        <f t="shared" si="5"/>
        <v>26868</v>
      </c>
      <c r="I14" s="51" t="s">
        <v>91</v>
      </c>
      <c r="J14" s="52" t="s">
        <v>92</v>
      </c>
      <c r="K14" s="51" t="s">
        <v>93</v>
      </c>
      <c r="L14" s="51" t="s">
        <v>94</v>
      </c>
      <c r="M14" s="52" t="s">
        <v>75</v>
      </c>
      <c r="N14" s="52" t="s">
        <v>95</v>
      </c>
      <c r="O14" s="53" t="s">
        <v>96</v>
      </c>
      <c r="P14" s="54" t="s">
        <v>97</v>
      </c>
    </row>
    <row r="15" spans="1:16" ht="12.75" customHeight="1" x14ac:dyDescent="0.2">
      <c r="A15" s="24" t="str">
        <f t="shared" si="0"/>
        <v>BAVM 186 </v>
      </c>
      <c r="B15" s="14" t="str">
        <f t="shared" si="1"/>
        <v>I</v>
      </c>
      <c r="C15" s="24">
        <f t="shared" si="2"/>
        <v>53751.2817</v>
      </c>
      <c r="D15" t="str">
        <f t="shared" si="3"/>
        <v>vis</v>
      </c>
      <c r="E15">
        <f>VLOOKUP(C15,Active!C$21:E$973,3,FALSE)</f>
        <v>27192.038052761069</v>
      </c>
      <c r="F15" s="14" t="s">
        <v>71</v>
      </c>
      <c r="G15" t="str">
        <f t="shared" si="4"/>
        <v>53751.2817</v>
      </c>
      <c r="H15" s="24">
        <f t="shared" si="5"/>
        <v>27192</v>
      </c>
      <c r="I15" s="51" t="s">
        <v>98</v>
      </c>
      <c r="J15" s="52" t="s">
        <v>99</v>
      </c>
      <c r="K15" s="51" t="s">
        <v>100</v>
      </c>
      <c r="L15" s="51" t="s">
        <v>101</v>
      </c>
      <c r="M15" s="52" t="s">
        <v>102</v>
      </c>
      <c r="N15" s="52" t="s">
        <v>82</v>
      </c>
      <c r="O15" s="53" t="s">
        <v>103</v>
      </c>
      <c r="P15" s="54" t="s">
        <v>104</v>
      </c>
    </row>
    <row r="16" spans="1:16" ht="12.75" customHeight="1" x14ac:dyDescent="0.2">
      <c r="A16" s="24" t="str">
        <f t="shared" si="0"/>
        <v>BAVM 201 </v>
      </c>
      <c r="B16" s="14" t="str">
        <f t="shared" si="1"/>
        <v>I</v>
      </c>
      <c r="C16" s="24">
        <f t="shared" si="2"/>
        <v>54173.353000000003</v>
      </c>
      <c r="D16" t="str">
        <f t="shared" si="3"/>
        <v>vis</v>
      </c>
      <c r="E16">
        <f>VLOOKUP(C16,Active!C$21:E$973,3,FALSE)</f>
        <v>27642.046411693635</v>
      </c>
      <c r="F16" s="14" t="s">
        <v>71</v>
      </c>
      <c r="G16" t="str">
        <f t="shared" si="4"/>
        <v>54173.3530</v>
      </c>
      <c r="H16" s="24">
        <f t="shared" si="5"/>
        <v>27642</v>
      </c>
      <c r="I16" s="51" t="s">
        <v>105</v>
      </c>
      <c r="J16" s="52" t="s">
        <v>106</v>
      </c>
      <c r="K16" s="51" t="s">
        <v>107</v>
      </c>
      <c r="L16" s="51" t="s">
        <v>108</v>
      </c>
      <c r="M16" s="52" t="s">
        <v>102</v>
      </c>
      <c r="N16" s="52" t="s">
        <v>82</v>
      </c>
      <c r="O16" s="53" t="s">
        <v>109</v>
      </c>
      <c r="P16" s="54" t="s">
        <v>110</v>
      </c>
    </row>
    <row r="17" spans="1:16" ht="12.75" customHeight="1" x14ac:dyDescent="0.2">
      <c r="A17" s="24" t="str">
        <f t="shared" si="0"/>
        <v>IBVS 5871 </v>
      </c>
      <c r="B17" s="14" t="str">
        <f t="shared" si="1"/>
        <v>I</v>
      </c>
      <c r="C17" s="24">
        <f t="shared" si="2"/>
        <v>54832.7045</v>
      </c>
      <c r="D17" t="str">
        <f t="shared" si="3"/>
        <v>vis</v>
      </c>
      <c r="E17">
        <f>VLOOKUP(C17,Active!C$21:E$973,3,FALSE)</f>
        <v>28345.040636780068</v>
      </c>
      <c r="F17" s="14" t="s">
        <v>71</v>
      </c>
      <c r="G17" t="str">
        <f t="shared" si="4"/>
        <v>54832.7045</v>
      </c>
      <c r="H17" s="24">
        <f t="shared" si="5"/>
        <v>28345</v>
      </c>
      <c r="I17" s="51" t="s">
        <v>111</v>
      </c>
      <c r="J17" s="52" t="s">
        <v>112</v>
      </c>
      <c r="K17" s="51" t="s">
        <v>113</v>
      </c>
      <c r="L17" s="51" t="s">
        <v>114</v>
      </c>
      <c r="M17" s="52" t="s">
        <v>102</v>
      </c>
      <c r="N17" s="52" t="s">
        <v>71</v>
      </c>
      <c r="O17" s="53" t="s">
        <v>115</v>
      </c>
      <c r="P17" s="54" t="s">
        <v>116</v>
      </c>
    </row>
    <row r="18" spans="1:16" ht="12.75" customHeight="1" x14ac:dyDescent="0.2">
      <c r="A18" s="24" t="str">
        <f t="shared" si="0"/>
        <v>IBVS 5938 </v>
      </c>
      <c r="B18" s="14" t="str">
        <f t="shared" si="1"/>
        <v>I</v>
      </c>
      <c r="C18" s="24">
        <f t="shared" si="2"/>
        <v>54849.592700000001</v>
      </c>
      <c r="D18" t="str">
        <f t="shared" si="3"/>
        <v>vis</v>
      </c>
      <c r="E18">
        <f>VLOOKUP(C18,Active!C$21:E$973,3,FALSE)</f>
        <v>28363.046673123514</v>
      </c>
      <c r="F18" s="14" t="s">
        <v>71</v>
      </c>
      <c r="G18" t="str">
        <f t="shared" si="4"/>
        <v>54849.5927</v>
      </c>
      <c r="H18" s="24">
        <f t="shared" si="5"/>
        <v>28363</v>
      </c>
      <c r="I18" s="51" t="s">
        <v>117</v>
      </c>
      <c r="J18" s="52" t="s">
        <v>118</v>
      </c>
      <c r="K18" s="51" t="s">
        <v>119</v>
      </c>
      <c r="L18" s="51" t="s">
        <v>120</v>
      </c>
      <c r="M18" s="52" t="s">
        <v>102</v>
      </c>
      <c r="N18" s="52" t="s">
        <v>71</v>
      </c>
      <c r="O18" s="53" t="s">
        <v>121</v>
      </c>
      <c r="P18" s="54" t="s">
        <v>122</v>
      </c>
    </row>
    <row r="19" spans="1:16" ht="12.75" customHeight="1" x14ac:dyDescent="0.2">
      <c r="A19" s="24" t="str">
        <f t="shared" si="0"/>
        <v>IBVS 5945 </v>
      </c>
      <c r="B19" s="14" t="str">
        <f t="shared" si="1"/>
        <v>I</v>
      </c>
      <c r="C19" s="24">
        <f t="shared" si="2"/>
        <v>55240.701800000003</v>
      </c>
      <c r="D19" t="str">
        <f t="shared" si="3"/>
        <v>vis</v>
      </c>
      <c r="E19">
        <f>VLOOKUP(C19,Active!C$21:E$973,3,FALSE)</f>
        <v>28780.043432331244</v>
      </c>
      <c r="F19" s="14" t="s">
        <v>71</v>
      </c>
      <c r="G19" t="str">
        <f t="shared" si="4"/>
        <v>55240.7018</v>
      </c>
      <c r="H19" s="24">
        <f t="shared" si="5"/>
        <v>28780</v>
      </c>
      <c r="I19" s="51" t="s">
        <v>123</v>
      </c>
      <c r="J19" s="52" t="s">
        <v>124</v>
      </c>
      <c r="K19" s="51" t="s">
        <v>125</v>
      </c>
      <c r="L19" s="51" t="s">
        <v>126</v>
      </c>
      <c r="M19" s="52" t="s">
        <v>102</v>
      </c>
      <c r="N19" s="52" t="s">
        <v>71</v>
      </c>
      <c r="O19" s="53" t="s">
        <v>115</v>
      </c>
      <c r="P19" s="54" t="s">
        <v>127</v>
      </c>
    </row>
    <row r="20" spans="1:16" ht="12.75" customHeight="1" x14ac:dyDescent="0.2">
      <c r="A20" s="24" t="str">
        <f t="shared" si="0"/>
        <v>IBVS 5992 </v>
      </c>
      <c r="B20" s="14" t="str">
        <f t="shared" si="1"/>
        <v>I</v>
      </c>
      <c r="C20" s="24">
        <f t="shared" si="2"/>
        <v>55572.723400000003</v>
      </c>
      <c r="D20" t="str">
        <f t="shared" si="3"/>
        <v>vis</v>
      </c>
      <c r="E20">
        <f>VLOOKUP(C20,Active!C$21:E$973,3,FALSE)</f>
        <v>29134.041667572928</v>
      </c>
      <c r="F20" s="14" t="s">
        <v>71</v>
      </c>
      <c r="G20" t="str">
        <f t="shared" si="4"/>
        <v>55572.7234</v>
      </c>
      <c r="H20" s="24">
        <f t="shared" si="5"/>
        <v>29134</v>
      </c>
      <c r="I20" s="51" t="s">
        <v>128</v>
      </c>
      <c r="J20" s="52" t="s">
        <v>129</v>
      </c>
      <c r="K20" s="51" t="s">
        <v>130</v>
      </c>
      <c r="L20" s="51" t="s">
        <v>131</v>
      </c>
      <c r="M20" s="52" t="s">
        <v>102</v>
      </c>
      <c r="N20" s="52" t="s">
        <v>71</v>
      </c>
      <c r="O20" s="53" t="s">
        <v>115</v>
      </c>
      <c r="P20" s="54" t="s">
        <v>132</v>
      </c>
    </row>
    <row r="21" spans="1:16" ht="12.75" customHeight="1" x14ac:dyDescent="0.2">
      <c r="A21" s="24" t="str">
        <f t="shared" si="0"/>
        <v>IBVS 6063 </v>
      </c>
      <c r="B21" s="14" t="str">
        <f t="shared" si="1"/>
        <v>I</v>
      </c>
      <c r="C21" s="24">
        <f t="shared" si="2"/>
        <v>56298.670299999998</v>
      </c>
      <c r="D21" t="str">
        <f t="shared" si="3"/>
        <v>vis</v>
      </c>
      <c r="E21">
        <f>VLOOKUP(C21,Active!C$21:E$973,3,FALSE)</f>
        <v>29908.039267365144</v>
      </c>
      <c r="F21" s="14" t="s">
        <v>71</v>
      </c>
      <c r="G21" t="str">
        <f t="shared" si="4"/>
        <v>56298.6703</v>
      </c>
      <c r="H21" s="24">
        <f t="shared" si="5"/>
        <v>29908</v>
      </c>
      <c r="I21" s="51" t="s">
        <v>133</v>
      </c>
      <c r="J21" s="52" t="s">
        <v>134</v>
      </c>
      <c r="K21" s="51" t="s">
        <v>135</v>
      </c>
      <c r="L21" s="51" t="s">
        <v>136</v>
      </c>
      <c r="M21" s="52" t="s">
        <v>102</v>
      </c>
      <c r="N21" s="52" t="s">
        <v>71</v>
      </c>
      <c r="O21" s="53" t="s">
        <v>115</v>
      </c>
      <c r="P21" s="54" t="s">
        <v>137</v>
      </c>
    </row>
    <row r="22" spans="1:16" ht="12.75" customHeight="1" x14ac:dyDescent="0.2">
      <c r="A22" s="24" t="str">
        <f t="shared" si="0"/>
        <v>BAVM 232 </v>
      </c>
      <c r="B22" s="14" t="str">
        <f t="shared" si="1"/>
        <v>I</v>
      </c>
      <c r="C22" s="24">
        <f t="shared" si="2"/>
        <v>56334.310899999997</v>
      </c>
      <c r="D22" t="str">
        <f t="shared" si="3"/>
        <v>vis</v>
      </c>
      <c r="E22">
        <f>VLOOKUP(C22,Active!C$21:E$973,3,FALSE)</f>
        <v>29946.03893215489</v>
      </c>
      <c r="F22" s="14" t="s">
        <v>71</v>
      </c>
      <c r="G22" t="str">
        <f t="shared" si="4"/>
        <v>56334.3109</v>
      </c>
      <c r="H22" s="24">
        <f t="shared" si="5"/>
        <v>29946</v>
      </c>
      <c r="I22" s="51" t="s">
        <v>138</v>
      </c>
      <c r="J22" s="52" t="s">
        <v>139</v>
      </c>
      <c r="K22" s="51" t="s">
        <v>140</v>
      </c>
      <c r="L22" s="51" t="s">
        <v>141</v>
      </c>
      <c r="M22" s="52" t="s">
        <v>102</v>
      </c>
      <c r="N22" s="52" t="s">
        <v>82</v>
      </c>
      <c r="O22" s="53" t="s">
        <v>142</v>
      </c>
      <c r="P22" s="54" t="s">
        <v>143</v>
      </c>
    </row>
    <row r="23" spans="1:16" ht="12.75" customHeight="1" x14ac:dyDescent="0.2">
      <c r="A23" s="24" t="str">
        <f t="shared" si="0"/>
        <v>BAVM 241 (=IBVS 6157) </v>
      </c>
      <c r="B23" s="14" t="str">
        <f t="shared" si="1"/>
        <v>I</v>
      </c>
      <c r="C23" s="24">
        <f t="shared" si="2"/>
        <v>56935.516799999998</v>
      </c>
      <c r="D23" t="str">
        <f t="shared" si="3"/>
        <v>vis</v>
      </c>
      <c r="E23">
        <f>VLOOKUP(C23,Active!C$21:E$973,3,FALSE)</f>
        <v>30587.038877992418</v>
      </c>
      <c r="F23" s="14" t="s">
        <v>71</v>
      </c>
      <c r="G23" t="str">
        <f t="shared" si="4"/>
        <v>56935.5168</v>
      </c>
      <c r="H23" s="24">
        <f t="shared" si="5"/>
        <v>30587</v>
      </c>
      <c r="I23" s="51" t="s">
        <v>144</v>
      </c>
      <c r="J23" s="52" t="s">
        <v>145</v>
      </c>
      <c r="K23" s="51" t="s">
        <v>146</v>
      </c>
      <c r="L23" s="51" t="s">
        <v>141</v>
      </c>
      <c r="M23" s="52" t="s">
        <v>102</v>
      </c>
      <c r="N23" s="52" t="s">
        <v>95</v>
      </c>
      <c r="O23" s="53" t="s">
        <v>147</v>
      </c>
      <c r="P23" s="54" t="s">
        <v>148</v>
      </c>
    </row>
    <row r="24" spans="1:16" ht="12.75" customHeight="1" x14ac:dyDescent="0.2">
      <c r="A24" s="24" t="str">
        <f t="shared" si="0"/>
        <v> MVS 410 </v>
      </c>
      <c r="B24" s="14" t="str">
        <f t="shared" si="1"/>
        <v>I</v>
      </c>
      <c r="C24" s="24">
        <f t="shared" si="2"/>
        <v>27699.583999999999</v>
      </c>
      <c r="D24" t="str">
        <f t="shared" si="3"/>
        <v>vis</v>
      </c>
      <c r="E24">
        <f>VLOOKUP(C24,Active!C$21:E$973,3,FALSE)</f>
        <v>-584.03136817387735</v>
      </c>
      <c r="F24" s="14" t="s">
        <v>71</v>
      </c>
      <c r="G24" t="str">
        <f t="shared" si="4"/>
        <v>27699.584</v>
      </c>
      <c r="H24" s="24">
        <f t="shared" si="5"/>
        <v>-584</v>
      </c>
      <c r="I24" s="51" t="s">
        <v>149</v>
      </c>
      <c r="J24" s="52" t="s">
        <v>150</v>
      </c>
      <c r="K24" s="51">
        <v>-584</v>
      </c>
      <c r="L24" s="51" t="s">
        <v>151</v>
      </c>
      <c r="M24" s="52" t="s">
        <v>152</v>
      </c>
      <c r="N24" s="52"/>
      <c r="O24" s="53" t="s">
        <v>153</v>
      </c>
      <c r="P24" s="53" t="s">
        <v>43</v>
      </c>
    </row>
    <row r="25" spans="1:16" ht="12.75" customHeight="1" x14ac:dyDescent="0.2">
      <c r="A25" s="24" t="str">
        <f t="shared" si="0"/>
        <v> MVS 410 </v>
      </c>
      <c r="B25" s="14" t="str">
        <f t="shared" si="1"/>
        <v>I</v>
      </c>
      <c r="C25" s="24">
        <f t="shared" si="2"/>
        <v>28247.328000000001</v>
      </c>
      <c r="D25" t="str">
        <f t="shared" si="3"/>
        <v>vis</v>
      </c>
      <c r="E25">
        <f>VLOOKUP(C25,Active!C$21:E$973,3,FALSE)</f>
        <v>-3.1985711341787633E-2</v>
      </c>
      <c r="F25" s="14" t="s">
        <v>71</v>
      </c>
      <c r="G25" t="str">
        <f t="shared" si="4"/>
        <v>28247.328</v>
      </c>
      <c r="H25" s="24">
        <f t="shared" si="5"/>
        <v>0</v>
      </c>
      <c r="I25" s="51" t="s">
        <v>154</v>
      </c>
      <c r="J25" s="52" t="s">
        <v>155</v>
      </c>
      <c r="K25" s="51">
        <v>0</v>
      </c>
      <c r="L25" s="51" t="s">
        <v>156</v>
      </c>
      <c r="M25" s="52" t="s">
        <v>152</v>
      </c>
      <c r="N25" s="52"/>
      <c r="O25" s="53" t="s">
        <v>153</v>
      </c>
      <c r="P25" s="53" t="s">
        <v>43</v>
      </c>
    </row>
    <row r="26" spans="1:16" ht="12.75" customHeight="1" x14ac:dyDescent="0.2">
      <c r="A26" s="24" t="str">
        <f t="shared" si="0"/>
        <v> MVS 410 </v>
      </c>
      <c r="B26" s="14" t="str">
        <f t="shared" si="1"/>
        <v>I</v>
      </c>
      <c r="C26" s="24">
        <f t="shared" si="2"/>
        <v>28247.383000000002</v>
      </c>
      <c r="D26" t="str">
        <f t="shared" si="3"/>
        <v>vis</v>
      </c>
      <c r="E26">
        <f>VLOOKUP(C26,Active!C$21:E$973,3,FALSE)</f>
        <v>2.6654759454075545E-2</v>
      </c>
      <c r="F26" s="14" t="s">
        <v>71</v>
      </c>
      <c r="G26" t="str">
        <f t="shared" si="4"/>
        <v>28247.383</v>
      </c>
      <c r="H26" s="24">
        <f t="shared" si="5"/>
        <v>0</v>
      </c>
      <c r="I26" s="51" t="s">
        <v>157</v>
      </c>
      <c r="J26" s="52" t="s">
        <v>158</v>
      </c>
      <c r="K26" s="51">
        <v>0</v>
      </c>
      <c r="L26" s="51" t="s">
        <v>159</v>
      </c>
      <c r="M26" s="52" t="s">
        <v>152</v>
      </c>
      <c r="N26" s="52"/>
      <c r="O26" s="53" t="s">
        <v>153</v>
      </c>
      <c r="P26" s="53" t="s">
        <v>43</v>
      </c>
    </row>
    <row r="27" spans="1:16" ht="12.75" customHeight="1" x14ac:dyDescent="0.2">
      <c r="A27" s="24" t="str">
        <f t="shared" si="0"/>
        <v> MVS 410 </v>
      </c>
      <c r="B27" s="14" t="str">
        <f t="shared" si="1"/>
        <v>I</v>
      </c>
      <c r="C27" s="24">
        <f t="shared" si="2"/>
        <v>28248.324000000001</v>
      </c>
      <c r="D27" t="str">
        <f t="shared" si="3"/>
        <v>vis</v>
      </c>
      <c r="E27">
        <f>VLOOKUP(C27,Active!C$21:E$973,3,FALSE)</f>
        <v>1.0299399052459011</v>
      </c>
      <c r="F27" s="14" t="s">
        <v>71</v>
      </c>
      <c r="G27" t="str">
        <f t="shared" si="4"/>
        <v>28248.324</v>
      </c>
      <c r="H27" s="24">
        <f t="shared" si="5"/>
        <v>1</v>
      </c>
      <c r="I27" s="51" t="s">
        <v>160</v>
      </c>
      <c r="J27" s="52" t="s">
        <v>161</v>
      </c>
      <c r="K27" s="51">
        <v>1</v>
      </c>
      <c r="L27" s="51" t="s">
        <v>162</v>
      </c>
      <c r="M27" s="52" t="s">
        <v>152</v>
      </c>
      <c r="N27" s="52"/>
      <c r="O27" s="53" t="s">
        <v>153</v>
      </c>
      <c r="P27" s="53" t="s">
        <v>43</v>
      </c>
    </row>
    <row r="28" spans="1:16" ht="12.75" customHeight="1" x14ac:dyDescent="0.2">
      <c r="A28" s="24" t="str">
        <f t="shared" si="0"/>
        <v> MVS 410 </v>
      </c>
      <c r="B28" s="14" t="str">
        <f t="shared" si="1"/>
        <v>I</v>
      </c>
      <c r="C28" s="24">
        <f t="shared" si="2"/>
        <v>28425.523000000001</v>
      </c>
      <c r="D28" t="str">
        <f t="shared" si="3"/>
        <v>vis</v>
      </c>
      <c r="E28">
        <f>VLOOKUP(C28,Active!C$21:E$973,3,FALSE)</f>
        <v>189.95780871435872</v>
      </c>
      <c r="F28" s="14" t="s">
        <v>71</v>
      </c>
      <c r="G28" t="str">
        <f t="shared" si="4"/>
        <v>28425.523</v>
      </c>
      <c r="H28" s="24">
        <f t="shared" si="5"/>
        <v>190</v>
      </c>
      <c r="I28" s="51" t="s">
        <v>163</v>
      </c>
      <c r="J28" s="52" t="s">
        <v>164</v>
      </c>
      <c r="K28" s="51">
        <v>190</v>
      </c>
      <c r="L28" s="51" t="s">
        <v>165</v>
      </c>
      <c r="M28" s="52" t="s">
        <v>152</v>
      </c>
      <c r="N28" s="52"/>
      <c r="O28" s="53" t="s">
        <v>153</v>
      </c>
      <c r="P28" s="53" t="s">
        <v>43</v>
      </c>
    </row>
    <row r="29" spans="1:16" ht="12.75" customHeight="1" x14ac:dyDescent="0.2">
      <c r="A29" s="24" t="str">
        <f t="shared" si="0"/>
        <v> MVS 410 </v>
      </c>
      <c r="B29" s="14" t="str">
        <f t="shared" si="1"/>
        <v>I</v>
      </c>
      <c r="C29" s="24">
        <f t="shared" si="2"/>
        <v>28834.487000000001</v>
      </c>
      <c r="D29" t="str">
        <f t="shared" si="3"/>
        <v>vis</v>
      </c>
      <c r="E29">
        <f>VLOOKUP(C29,Active!C$21:E$973,3,FALSE)</f>
        <v>625.99129050404019</v>
      </c>
      <c r="F29" s="14" t="s">
        <v>71</v>
      </c>
      <c r="G29" t="str">
        <f t="shared" si="4"/>
        <v>28834.487</v>
      </c>
      <c r="H29" s="24">
        <f t="shared" si="5"/>
        <v>626</v>
      </c>
      <c r="I29" s="51" t="s">
        <v>166</v>
      </c>
      <c r="J29" s="52" t="s">
        <v>167</v>
      </c>
      <c r="K29" s="51">
        <v>626</v>
      </c>
      <c r="L29" s="51" t="s">
        <v>168</v>
      </c>
      <c r="M29" s="52" t="s">
        <v>152</v>
      </c>
      <c r="N29" s="52"/>
      <c r="O29" s="53" t="s">
        <v>153</v>
      </c>
      <c r="P29" s="53" t="s">
        <v>43</v>
      </c>
    </row>
    <row r="30" spans="1:16" ht="12.75" customHeight="1" x14ac:dyDescent="0.2">
      <c r="A30" s="24" t="str">
        <f t="shared" si="0"/>
        <v> MVS 410 </v>
      </c>
      <c r="B30" s="14" t="str">
        <f t="shared" si="1"/>
        <v>I</v>
      </c>
      <c r="C30" s="24">
        <f t="shared" si="2"/>
        <v>28835.41</v>
      </c>
      <c r="D30" t="str">
        <f t="shared" si="3"/>
        <v>vis</v>
      </c>
      <c r="E30">
        <f>VLOOKUP(C30,Active!C$21:E$973,3,FALSE)</f>
        <v>626.97538422302614</v>
      </c>
      <c r="F30" s="14" t="s">
        <v>71</v>
      </c>
      <c r="G30" t="str">
        <f t="shared" si="4"/>
        <v>28835.410</v>
      </c>
      <c r="H30" s="24">
        <f t="shared" si="5"/>
        <v>627</v>
      </c>
      <c r="I30" s="51" t="s">
        <v>169</v>
      </c>
      <c r="J30" s="52" t="s">
        <v>170</v>
      </c>
      <c r="K30" s="51">
        <v>627</v>
      </c>
      <c r="L30" s="51" t="s">
        <v>171</v>
      </c>
      <c r="M30" s="52" t="s">
        <v>152</v>
      </c>
      <c r="N30" s="52"/>
      <c r="O30" s="53" t="s">
        <v>153</v>
      </c>
      <c r="P30" s="53" t="s">
        <v>43</v>
      </c>
    </row>
    <row r="31" spans="1:16" ht="12.75" customHeight="1" x14ac:dyDescent="0.2">
      <c r="A31" s="24" t="str">
        <f t="shared" si="0"/>
        <v> MVS 410 </v>
      </c>
      <c r="B31" s="14" t="str">
        <f t="shared" si="1"/>
        <v>I</v>
      </c>
      <c r="C31" s="24">
        <f t="shared" si="2"/>
        <v>28836.405999999999</v>
      </c>
      <c r="D31" t="str">
        <f t="shared" si="3"/>
        <v>vis</v>
      </c>
      <c r="E31">
        <f>VLOOKUP(C31,Active!C$21:E$973,3,FALSE)</f>
        <v>628.03730983961384</v>
      </c>
      <c r="F31" s="14" t="s">
        <v>71</v>
      </c>
      <c r="G31" t="str">
        <f t="shared" si="4"/>
        <v>28836.406</v>
      </c>
      <c r="H31" s="24">
        <f t="shared" si="5"/>
        <v>628</v>
      </c>
      <c r="I31" s="51" t="s">
        <v>172</v>
      </c>
      <c r="J31" s="52" t="s">
        <v>173</v>
      </c>
      <c r="K31" s="51">
        <v>628</v>
      </c>
      <c r="L31" s="51" t="s">
        <v>174</v>
      </c>
      <c r="M31" s="52" t="s">
        <v>152</v>
      </c>
      <c r="N31" s="52"/>
      <c r="O31" s="53" t="s">
        <v>153</v>
      </c>
      <c r="P31" s="53" t="s">
        <v>43</v>
      </c>
    </row>
    <row r="32" spans="1:16" ht="12.75" customHeight="1" x14ac:dyDescent="0.2">
      <c r="A32" s="24" t="str">
        <f t="shared" si="0"/>
        <v> MVS 410 </v>
      </c>
      <c r="B32" s="14" t="str">
        <f t="shared" si="1"/>
        <v>I</v>
      </c>
      <c r="C32" s="24">
        <f t="shared" si="2"/>
        <v>28849.510999999999</v>
      </c>
      <c r="D32" t="str">
        <f t="shared" si="3"/>
        <v>vis</v>
      </c>
      <c r="E32">
        <f>VLOOKUP(C32,Active!C$21:E$973,3,FALSE)</f>
        <v>642.00973474462648</v>
      </c>
      <c r="F32" s="14" t="s">
        <v>71</v>
      </c>
      <c r="G32" t="str">
        <f t="shared" si="4"/>
        <v>28849.511</v>
      </c>
      <c r="H32" s="24">
        <f t="shared" si="5"/>
        <v>642</v>
      </c>
      <c r="I32" s="51" t="s">
        <v>175</v>
      </c>
      <c r="J32" s="52" t="s">
        <v>176</v>
      </c>
      <c r="K32" s="51">
        <v>642</v>
      </c>
      <c r="L32" s="51" t="s">
        <v>177</v>
      </c>
      <c r="M32" s="52" t="s">
        <v>152</v>
      </c>
      <c r="N32" s="52"/>
      <c r="O32" s="53" t="s">
        <v>153</v>
      </c>
      <c r="P32" s="53" t="s">
        <v>43</v>
      </c>
    </row>
    <row r="33" spans="1:16" ht="12.75" customHeight="1" x14ac:dyDescent="0.2">
      <c r="A33" s="24" t="str">
        <f t="shared" si="0"/>
        <v> MVS 410 </v>
      </c>
      <c r="B33" s="14" t="str">
        <f t="shared" si="1"/>
        <v>I</v>
      </c>
      <c r="C33" s="24">
        <f t="shared" si="2"/>
        <v>28865.423999999999</v>
      </c>
      <c r="D33" t="str">
        <f t="shared" si="3"/>
        <v>vis</v>
      </c>
      <c r="E33">
        <f>VLOOKUP(C33,Active!C$21:E$973,3,FALSE)</f>
        <v>658.97602223134754</v>
      </c>
      <c r="F33" s="14" t="s">
        <v>71</v>
      </c>
      <c r="G33" t="str">
        <f t="shared" si="4"/>
        <v>28865.424</v>
      </c>
      <c r="H33" s="24">
        <f t="shared" si="5"/>
        <v>659</v>
      </c>
      <c r="I33" s="51" t="s">
        <v>178</v>
      </c>
      <c r="J33" s="52" t="s">
        <v>179</v>
      </c>
      <c r="K33" s="51">
        <v>659</v>
      </c>
      <c r="L33" s="51" t="s">
        <v>180</v>
      </c>
      <c r="M33" s="52" t="s">
        <v>152</v>
      </c>
      <c r="N33" s="52"/>
      <c r="O33" s="53" t="s">
        <v>153</v>
      </c>
      <c r="P33" s="53" t="s">
        <v>43</v>
      </c>
    </row>
    <row r="34" spans="1:16" ht="12.75" customHeight="1" x14ac:dyDescent="0.2">
      <c r="A34" s="24" t="str">
        <f t="shared" si="0"/>
        <v> MVS 410 </v>
      </c>
      <c r="B34" s="14" t="str">
        <f t="shared" si="1"/>
        <v>I</v>
      </c>
      <c r="C34" s="24">
        <f t="shared" si="2"/>
        <v>28879.521000000001</v>
      </c>
      <c r="D34" t="str">
        <f t="shared" si="3"/>
        <v>vis</v>
      </c>
      <c r="E34">
        <f>VLOOKUP(C34,Active!C$21:E$973,3,FALSE)</f>
        <v>674.00610799143851</v>
      </c>
      <c r="F34" s="14" t="s">
        <v>71</v>
      </c>
      <c r="G34" t="str">
        <f t="shared" si="4"/>
        <v>28879.521</v>
      </c>
      <c r="H34" s="24">
        <f t="shared" si="5"/>
        <v>674</v>
      </c>
      <c r="I34" s="51" t="s">
        <v>181</v>
      </c>
      <c r="J34" s="52" t="s">
        <v>182</v>
      </c>
      <c r="K34" s="51">
        <v>674</v>
      </c>
      <c r="L34" s="51" t="s">
        <v>183</v>
      </c>
      <c r="M34" s="52" t="s">
        <v>152</v>
      </c>
      <c r="N34" s="52"/>
      <c r="O34" s="53" t="s">
        <v>153</v>
      </c>
      <c r="P34" s="53" t="s">
        <v>43</v>
      </c>
    </row>
    <row r="35" spans="1:16" ht="12.75" customHeight="1" x14ac:dyDescent="0.2">
      <c r="A35" s="24" t="str">
        <f t="shared" si="0"/>
        <v> MVS 410 </v>
      </c>
      <c r="B35" s="14" t="str">
        <f t="shared" si="1"/>
        <v>I</v>
      </c>
      <c r="C35" s="24">
        <f t="shared" si="2"/>
        <v>29165.555</v>
      </c>
      <c r="D35" t="str">
        <f t="shared" si="3"/>
        <v>vis</v>
      </c>
      <c r="E35">
        <f>VLOOKUP(C35,Active!C$21:E$973,3,FALSE)</f>
        <v>978.97280660116849</v>
      </c>
      <c r="F35" s="14" t="s">
        <v>71</v>
      </c>
      <c r="G35" t="str">
        <f t="shared" si="4"/>
        <v>29165.555</v>
      </c>
      <c r="H35" s="24">
        <f t="shared" si="5"/>
        <v>979</v>
      </c>
      <c r="I35" s="51" t="s">
        <v>184</v>
      </c>
      <c r="J35" s="52" t="s">
        <v>185</v>
      </c>
      <c r="K35" s="51">
        <v>979</v>
      </c>
      <c r="L35" s="51" t="s">
        <v>186</v>
      </c>
      <c r="M35" s="52" t="s">
        <v>152</v>
      </c>
      <c r="N35" s="52"/>
      <c r="O35" s="53" t="s">
        <v>153</v>
      </c>
      <c r="P35" s="53" t="s">
        <v>43</v>
      </c>
    </row>
    <row r="36" spans="1:16" ht="12.75" customHeight="1" x14ac:dyDescent="0.2">
      <c r="A36" s="24" t="str">
        <f t="shared" si="0"/>
        <v> MVS 410 </v>
      </c>
      <c r="B36" s="14" t="str">
        <f t="shared" si="1"/>
        <v>I</v>
      </c>
      <c r="C36" s="24">
        <f t="shared" si="2"/>
        <v>29229.33</v>
      </c>
      <c r="D36" t="str">
        <f t="shared" si="3"/>
        <v>vis</v>
      </c>
      <c r="E36">
        <f>VLOOKUP(C36,Active!C$21:E$973,3,FALSE)</f>
        <v>1046.9690979645588</v>
      </c>
      <c r="F36" s="14" t="s">
        <v>71</v>
      </c>
      <c r="G36" t="str">
        <f t="shared" si="4"/>
        <v>29229.330</v>
      </c>
      <c r="H36" s="24">
        <f t="shared" si="5"/>
        <v>1047</v>
      </c>
      <c r="I36" s="51" t="s">
        <v>187</v>
      </c>
      <c r="J36" s="52" t="s">
        <v>188</v>
      </c>
      <c r="K36" s="51">
        <v>1047</v>
      </c>
      <c r="L36" s="51" t="s">
        <v>151</v>
      </c>
      <c r="M36" s="52" t="s">
        <v>152</v>
      </c>
      <c r="N36" s="52"/>
      <c r="O36" s="53" t="s">
        <v>153</v>
      </c>
      <c r="P36" s="53" t="s">
        <v>43</v>
      </c>
    </row>
    <row r="37" spans="1:16" ht="12.75" customHeight="1" x14ac:dyDescent="0.2">
      <c r="A37" s="24" t="str">
        <f t="shared" si="0"/>
        <v> MVS 410 </v>
      </c>
      <c r="B37" s="14" t="str">
        <f t="shared" si="1"/>
        <v>I</v>
      </c>
      <c r="C37" s="24">
        <f t="shared" si="2"/>
        <v>29497.581999999999</v>
      </c>
      <c r="D37" t="str">
        <f t="shared" si="3"/>
        <v>vis</v>
      </c>
      <c r="E37">
        <f>VLOOKUP(C37,Active!C$21:E$973,3,FALSE)</f>
        <v>1332.9767992708946</v>
      </c>
      <c r="F37" s="14" t="s">
        <v>71</v>
      </c>
      <c r="G37" t="str">
        <f t="shared" si="4"/>
        <v>29497.582</v>
      </c>
      <c r="H37" s="24">
        <f t="shared" si="5"/>
        <v>1333</v>
      </c>
      <c r="I37" s="51" t="s">
        <v>189</v>
      </c>
      <c r="J37" s="52" t="s">
        <v>190</v>
      </c>
      <c r="K37" s="51">
        <v>1333</v>
      </c>
      <c r="L37" s="51" t="s">
        <v>180</v>
      </c>
      <c r="M37" s="52" t="s">
        <v>152</v>
      </c>
      <c r="N37" s="52"/>
      <c r="O37" s="53" t="s">
        <v>153</v>
      </c>
      <c r="P37" s="53" t="s">
        <v>43</v>
      </c>
    </row>
    <row r="38" spans="1:16" ht="12.75" customHeight="1" x14ac:dyDescent="0.2">
      <c r="A38" s="24" t="str">
        <f t="shared" si="0"/>
        <v> MVS 410 </v>
      </c>
      <c r="B38" s="14" t="str">
        <f t="shared" si="1"/>
        <v>I</v>
      </c>
      <c r="C38" s="24">
        <f t="shared" si="2"/>
        <v>29498.554</v>
      </c>
      <c r="D38" t="str">
        <f t="shared" si="3"/>
        <v>vis</v>
      </c>
      <c r="E38">
        <f>VLOOKUP(C38,Active!C$21:E$973,3,FALSE)</f>
        <v>1334.0131363184103</v>
      </c>
      <c r="F38" s="14" t="s">
        <v>71</v>
      </c>
      <c r="G38" t="str">
        <f t="shared" si="4"/>
        <v>29498.554</v>
      </c>
      <c r="H38" s="24">
        <f t="shared" si="5"/>
        <v>1334</v>
      </c>
      <c r="I38" s="51" t="s">
        <v>191</v>
      </c>
      <c r="J38" s="52" t="s">
        <v>192</v>
      </c>
      <c r="K38" s="51">
        <v>1334</v>
      </c>
      <c r="L38" s="51" t="s">
        <v>193</v>
      </c>
      <c r="M38" s="52" t="s">
        <v>152</v>
      </c>
      <c r="N38" s="52"/>
      <c r="O38" s="53" t="s">
        <v>153</v>
      </c>
      <c r="P38" s="53" t="s">
        <v>43</v>
      </c>
    </row>
    <row r="39" spans="1:16" ht="12.75" customHeight="1" x14ac:dyDescent="0.2">
      <c r="A39" s="24" t="str">
        <f t="shared" si="0"/>
        <v> MVS 410 </v>
      </c>
      <c r="B39" s="14" t="str">
        <f t="shared" si="1"/>
        <v>I</v>
      </c>
      <c r="C39" s="24">
        <f t="shared" si="2"/>
        <v>29575.446</v>
      </c>
      <c r="D39" t="str">
        <f t="shared" si="3"/>
        <v>vis</v>
      </c>
      <c r="E39">
        <f>VLOOKUP(C39,Active!C$21:E$973,3,FALSE)</f>
        <v>1415.9946468713492</v>
      </c>
      <c r="F39" s="14" t="s">
        <v>71</v>
      </c>
      <c r="G39" t="str">
        <f t="shared" si="4"/>
        <v>29575.446</v>
      </c>
      <c r="H39" s="24">
        <f t="shared" si="5"/>
        <v>1416</v>
      </c>
      <c r="I39" s="51" t="s">
        <v>194</v>
      </c>
      <c r="J39" s="52" t="s">
        <v>195</v>
      </c>
      <c r="K39" s="51">
        <v>1416</v>
      </c>
      <c r="L39" s="51" t="s">
        <v>196</v>
      </c>
      <c r="M39" s="52" t="s">
        <v>152</v>
      </c>
      <c r="N39" s="52"/>
      <c r="O39" s="53" t="s">
        <v>153</v>
      </c>
      <c r="P39" s="53" t="s">
        <v>43</v>
      </c>
    </row>
    <row r="40" spans="1:16" ht="12.75" customHeight="1" x14ac:dyDescent="0.2">
      <c r="A40" s="24" t="str">
        <f t="shared" si="0"/>
        <v> MVS 410 </v>
      </c>
      <c r="B40" s="14" t="str">
        <f t="shared" si="1"/>
        <v>I</v>
      </c>
      <c r="C40" s="24">
        <f t="shared" si="2"/>
        <v>29576.374</v>
      </c>
      <c r="D40" t="str">
        <f t="shared" si="3"/>
        <v>vis</v>
      </c>
      <c r="E40">
        <f>VLOOKUP(C40,Active!C$21:E$973,3,FALSE)</f>
        <v>1416.9840715422267</v>
      </c>
      <c r="F40" s="14" t="s">
        <v>71</v>
      </c>
      <c r="G40" t="str">
        <f t="shared" si="4"/>
        <v>29576.374</v>
      </c>
      <c r="H40" s="24">
        <f t="shared" si="5"/>
        <v>1417</v>
      </c>
      <c r="I40" s="51" t="s">
        <v>197</v>
      </c>
      <c r="J40" s="52" t="s">
        <v>198</v>
      </c>
      <c r="K40" s="51">
        <v>1417</v>
      </c>
      <c r="L40" s="51" t="s">
        <v>199</v>
      </c>
      <c r="M40" s="52" t="s">
        <v>152</v>
      </c>
      <c r="N40" s="52"/>
      <c r="O40" s="53" t="s">
        <v>153</v>
      </c>
      <c r="P40" s="53" t="s">
        <v>43</v>
      </c>
    </row>
    <row r="41" spans="1:16" ht="12.75" customHeight="1" x14ac:dyDescent="0.2">
      <c r="A41" s="24" t="str">
        <f t="shared" si="0"/>
        <v> MVS 410 </v>
      </c>
      <c r="B41" s="14" t="str">
        <f t="shared" si="1"/>
        <v>I</v>
      </c>
      <c r="C41" s="24">
        <f t="shared" si="2"/>
        <v>29588.61</v>
      </c>
      <c r="D41" t="str">
        <f t="shared" si="3"/>
        <v>vis</v>
      </c>
      <c r="E41">
        <f>VLOOKUP(C41,Active!C$21:E$973,3,FALSE)</f>
        <v>1430.029977008671</v>
      </c>
      <c r="F41" s="14" t="s">
        <v>71</v>
      </c>
      <c r="G41" t="str">
        <f t="shared" si="4"/>
        <v>29588.610</v>
      </c>
      <c r="H41" s="24">
        <f t="shared" si="5"/>
        <v>1430</v>
      </c>
      <c r="I41" s="51" t="s">
        <v>200</v>
      </c>
      <c r="J41" s="52" t="s">
        <v>201</v>
      </c>
      <c r="K41" s="51">
        <v>1430</v>
      </c>
      <c r="L41" s="51" t="s">
        <v>162</v>
      </c>
      <c r="M41" s="52" t="s">
        <v>152</v>
      </c>
      <c r="N41" s="52"/>
      <c r="O41" s="53" t="s">
        <v>153</v>
      </c>
      <c r="P41" s="53" t="s">
        <v>43</v>
      </c>
    </row>
    <row r="42" spans="1:16" ht="12.75" customHeight="1" x14ac:dyDescent="0.2">
      <c r="A42" s="24" t="str">
        <f t="shared" si="0"/>
        <v> MVS 410 </v>
      </c>
      <c r="B42" s="14" t="str">
        <f t="shared" si="1"/>
        <v>I</v>
      </c>
      <c r="C42" s="24">
        <f t="shared" si="2"/>
        <v>29617.677</v>
      </c>
      <c r="D42" t="str">
        <f t="shared" si="3"/>
        <v>vis</v>
      </c>
      <c r="E42">
        <f>VLOOKUP(C42,Active!C$21:E$973,3,FALSE)</f>
        <v>1461.0209327289308</v>
      </c>
      <c r="F42" s="14" t="s">
        <v>71</v>
      </c>
      <c r="G42" t="str">
        <f t="shared" si="4"/>
        <v>29617.677</v>
      </c>
      <c r="H42" s="24">
        <f t="shared" si="5"/>
        <v>1461</v>
      </c>
      <c r="I42" s="51" t="s">
        <v>202</v>
      </c>
      <c r="J42" s="52" t="s">
        <v>203</v>
      </c>
      <c r="K42" s="51">
        <v>1461</v>
      </c>
      <c r="L42" s="51" t="s">
        <v>204</v>
      </c>
      <c r="M42" s="52" t="s">
        <v>152</v>
      </c>
      <c r="N42" s="52"/>
      <c r="O42" s="53" t="s">
        <v>153</v>
      </c>
      <c r="P42" s="53" t="s">
        <v>43</v>
      </c>
    </row>
    <row r="43" spans="1:16" ht="12.75" customHeight="1" x14ac:dyDescent="0.2">
      <c r="A43" s="24" t="str">
        <f t="shared" si="0"/>
        <v> MVS 410 </v>
      </c>
      <c r="B43" s="14" t="str">
        <f t="shared" si="1"/>
        <v>I</v>
      </c>
      <c r="C43" s="24">
        <f t="shared" si="2"/>
        <v>29696.440999999999</v>
      </c>
      <c r="D43" t="str">
        <f t="shared" si="3"/>
        <v>vis</v>
      </c>
      <c r="E43">
        <f>VLOOKUP(C43,Active!C$21:E$973,3,FALSE)</f>
        <v>1544.9983516696741</v>
      </c>
      <c r="F43" s="14" t="s">
        <v>71</v>
      </c>
      <c r="G43" t="str">
        <f t="shared" si="4"/>
        <v>29696.441</v>
      </c>
      <c r="H43" s="24">
        <f t="shared" si="5"/>
        <v>1545</v>
      </c>
      <c r="I43" s="51" t="s">
        <v>205</v>
      </c>
      <c r="J43" s="52" t="s">
        <v>206</v>
      </c>
      <c r="K43" s="51">
        <v>1545</v>
      </c>
      <c r="L43" s="51" t="s">
        <v>207</v>
      </c>
      <c r="M43" s="52" t="s">
        <v>152</v>
      </c>
      <c r="N43" s="52"/>
      <c r="O43" s="53" t="s">
        <v>153</v>
      </c>
      <c r="P43" s="53" t="s">
        <v>43</v>
      </c>
    </row>
    <row r="44" spans="1:16" ht="12.75" customHeight="1" x14ac:dyDescent="0.2">
      <c r="A44" s="24" t="str">
        <f t="shared" si="0"/>
        <v> MVS 410 </v>
      </c>
      <c r="B44" s="14" t="str">
        <f t="shared" si="1"/>
        <v>I</v>
      </c>
      <c r="C44" s="24">
        <f t="shared" si="2"/>
        <v>29728.332999999999</v>
      </c>
      <c r="D44" t="str">
        <f t="shared" si="3"/>
        <v>vis</v>
      </c>
      <c r="E44">
        <f>VLOOKUP(C44,Active!C$21:E$973,3,FALSE)</f>
        <v>1579.0012952080697</v>
      </c>
      <c r="F44" s="14" t="s">
        <v>71</v>
      </c>
      <c r="G44" t="str">
        <f t="shared" si="4"/>
        <v>29728.333</v>
      </c>
      <c r="H44" s="24">
        <f t="shared" si="5"/>
        <v>1579</v>
      </c>
      <c r="I44" s="51" t="s">
        <v>208</v>
      </c>
      <c r="J44" s="52" t="s">
        <v>209</v>
      </c>
      <c r="K44" s="51">
        <v>1579</v>
      </c>
      <c r="L44" s="51" t="s">
        <v>210</v>
      </c>
      <c r="M44" s="52" t="s">
        <v>152</v>
      </c>
      <c r="N44" s="52"/>
      <c r="O44" s="53" t="s">
        <v>153</v>
      </c>
      <c r="P44" s="53" t="s">
        <v>43</v>
      </c>
    </row>
    <row r="45" spans="1:16" ht="12.75" customHeight="1" x14ac:dyDescent="0.2">
      <c r="A45" s="24" t="str">
        <f t="shared" si="0"/>
        <v> MVS 410 </v>
      </c>
      <c r="B45" s="14" t="str">
        <f t="shared" si="1"/>
        <v>I</v>
      </c>
      <c r="C45" s="24">
        <f t="shared" si="2"/>
        <v>29955.298999999999</v>
      </c>
      <c r="D45" t="str">
        <f t="shared" si="3"/>
        <v>vis</v>
      </c>
      <c r="E45">
        <f>VLOOKUP(C45,Active!C$21:E$973,3,FALSE)</f>
        <v>1820.9902605641328</v>
      </c>
      <c r="F45" s="14" t="s">
        <v>71</v>
      </c>
      <c r="G45" t="str">
        <f t="shared" si="4"/>
        <v>29955.299</v>
      </c>
      <c r="H45" s="24">
        <f t="shared" si="5"/>
        <v>1821</v>
      </c>
      <c r="I45" s="51" t="s">
        <v>211</v>
      </c>
      <c r="J45" s="52" t="s">
        <v>212</v>
      </c>
      <c r="K45" s="51">
        <v>1821</v>
      </c>
      <c r="L45" s="51" t="s">
        <v>213</v>
      </c>
      <c r="M45" s="52" t="s">
        <v>152</v>
      </c>
      <c r="N45" s="52"/>
      <c r="O45" s="53" t="s">
        <v>153</v>
      </c>
      <c r="P45" s="53" t="s">
        <v>43</v>
      </c>
    </row>
    <row r="46" spans="1:16" ht="12.75" customHeight="1" x14ac:dyDescent="0.2">
      <c r="A46" s="24" t="str">
        <f t="shared" si="0"/>
        <v> MVS 410 </v>
      </c>
      <c r="B46" s="14" t="str">
        <f t="shared" si="1"/>
        <v>I</v>
      </c>
      <c r="C46" s="24">
        <f t="shared" si="2"/>
        <v>29984.356</v>
      </c>
      <c r="D46" t="str">
        <f t="shared" si="3"/>
        <v>vis</v>
      </c>
      <c r="E46">
        <f>VLOOKUP(C46,Active!C$21:E$973,3,FALSE)</f>
        <v>1851.9705543806133</v>
      </c>
      <c r="F46" s="14" t="s">
        <v>71</v>
      </c>
      <c r="G46" t="str">
        <f t="shared" si="4"/>
        <v>29984.356</v>
      </c>
      <c r="H46" s="24">
        <f t="shared" si="5"/>
        <v>1852</v>
      </c>
      <c r="I46" s="51" t="s">
        <v>214</v>
      </c>
      <c r="J46" s="52" t="s">
        <v>215</v>
      </c>
      <c r="K46" s="51">
        <v>1852</v>
      </c>
      <c r="L46" s="51" t="s">
        <v>216</v>
      </c>
      <c r="M46" s="52" t="s">
        <v>152</v>
      </c>
      <c r="N46" s="52"/>
      <c r="O46" s="53" t="s">
        <v>153</v>
      </c>
      <c r="P46" s="53" t="s">
        <v>43</v>
      </c>
    </row>
    <row r="47" spans="1:16" ht="12.75" customHeight="1" x14ac:dyDescent="0.2">
      <c r="A47" s="24" t="str">
        <f t="shared" si="0"/>
        <v> MVS 410 </v>
      </c>
      <c r="B47" s="14" t="str">
        <f t="shared" si="1"/>
        <v>I</v>
      </c>
      <c r="C47" s="24">
        <f t="shared" si="2"/>
        <v>29984.383999999998</v>
      </c>
      <c r="D47" t="str">
        <f t="shared" si="3"/>
        <v>vis</v>
      </c>
      <c r="E47">
        <f>VLOOKUP(C47,Active!C$21:E$973,3,FALSE)</f>
        <v>1852.0004077111985</v>
      </c>
      <c r="F47" s="14" t="s">
        <v>71</v>
      </c>
      <c r="G47" t="str">
        <f t="shared" si="4"/>
        <v>29984.384</v>
      </c>
      <c r="H47" s="24">
        <f t="shared" si="5"/>
        <v>1852</v>
      </c>
      <c r="I47" s="51" t="s">
        <v>217</v>
      </c>
      <c r="J47" s="52" t="s">
        <v>218</v>
      </c>
      <c r="K47" s="51">
        <v>1852</v>
      </c>
      <c r="L47" s="51" t="s">
        <v>219</v>
      </c>
      <c r="M47" s="52" t="s">
        <v>152</v>
      </c>
      <c r="N47" s="52"/>
      <c r="O47" s="53" t="s">
        <v>153</v>
      </c>
      <c r="P47" s="53" t="s">
        <v>43</v>
      </c>
    </row>
    <row r="48" spans="1:16" ht="12.75" customHeight="1" x14ac:dyDescent="0.2">
      <c r="A48" s="24" t="str">
        <f t="shared" si="0"/>
        <v> MVS 410 </v>
      </c>
      <c r="B48" s="14" t="str">
        <f t="shared" si="1"/>
        <v>I</v>
      </c>
      <c r="C48" s="24">
        <f t="shared" si="2"/>
        <v>32884.466999999997</v>
      </c>
      <c r="D48" t="str">
        <f t="shared" si="3"/>
        <v>vis</v>
      </c>
      <c r="E48">
        <f>VLOOKUP(C48,Active!C$21:E$973,3,FALSE)</f>
        <v>4944.0409980053673</v>
      </c>
      <c r="F48" s="14" t="s">
        <v>71</v>
      </c>
      <c r="G48" t="str">
        <f t="shared" si="4"/>
        <v>32884.467</v>
      </c>
      <c r="H48" s="24">
        <f t="shared" si="5"/>
        <v>4944</v>
      </c>
      <c r="I48" s="51" t="s">
        <v>220</v>
      </c>
      <c r="J48" s="52" t="s">
        <v>221</v>
      </c>
      <c r="K48" s="51">
        <v>4944</v>
      </c>
      <c r="L48" s="51" t="s">
        <v>222</v>
      </c>
      <c r="M48" s="52" t="s">
        <v>152</v>
      </c>
      <c r="N48" s="52"/>
      <c r="O48" s="53" t="s">
        <v>153</v>
      </c>
      <c r="P48" s="53" t="s">
        <v>43</v>
      </c>
    </row>
    <row r="49" spans="1:16" ht="12.75" customHeight="1" x14ac:dyDescent="0.2">
      <c r="A49" s="24" t="str">
        <f t="shared" si="0"/>
        <v> MVS 410 </v>
      </c>
      <c r="B49" s="14" t="str">
        <f t="shared" si="1"/>
        <v>I</v>
      </c>
      <c r="C49" s="24">
        <f t="shared" si="2"/>
        <v>33246.476000000002</v>
      </c>
      <c r="D49" t="str">
        <f t="shared" si="3"/>
        <v>vis</v>
      </c>
      <c r="E49">
        <f>VLOOKUP(C49,Active!C$21:E$973,3,FALSE)</f>
        <v>5330.0115105913237</v>
      </c>
      <c r="F49" s="14" t="s">
        <v>71</v>
      </c>
      <c r="G49" t="str">
        <f t="shared" si="4"/>
        <v>33246.476</v>
      </c>
      <c r="H49" s="24">
        <f t="shared" si="5"/>
        <v>5330</v>
      </c>
      <c r="I49" s="51" t="s">
        <v>223</v>
      </c>
      <c r="J49" s="52" t="s">
        <v>224</v>
      </c>
      <c r="K49" s="51">
        <v>5330</v>
      </c>
      <c r="L49" s="51" t="s">
        <v>225</v>
      </c>
      <c r="M49" s="52" t="s">
        <v>152</v>
      </c>
      <c r="N49" s="52"/>
      <c r="O49" s="53" t="s">
        <v>153</v>
      </c>
      <c r="P49" s="53" t="s">
        <v>43</v>
      </c>
    </row>
    <row r="50" spans="1:16" ht="12.75" customHeight="1" x14ac:dyDescent="0.2">
      <c r="A50" s="24" t="str">
        <f t="shared" si="0"/>
        <v> MVS 410 </v>
      </c>
      <c r="B50" s="14" t="str">
        <f t="shared" si="1"/>
        <v>I</v>
      </c>
      <c r="C50" s="24">
        <f t="shared" si="2"/>
        <v>34682.425999999999</v>
      </c>
      <c r="D50" t="str">
        <f t="shared" si="3"/>
        <v>vis</v>
      </c>
      <c r="E50">
        <f>VLOOKUP(C50,Active!C$21:E$973,3,FALSE)</f>
        <v>6861.0075840253967</v>
      </c>
      <c r="F50" s="14" t="s">
        <v>71</v>
      </c>
      <c r="G50" t="str">
        <f t="shared" si="4"/>
        <v>34682.426</v>
      </c>
      <c r="H50" s="24">
        <f t="shared" si="5"/>
        <v>6861</v>
      </c>
      <c r="I50" s="51" t="s">
        <v>226</v>
      </c>
      <c r="J50" s="52" t="s">
        <v>227</v>
      </c>
      <c r="K50" s="51">
        <v>6861</v>
      </c>
      <c r="L50" s="51" t="s">
        <v>228</v>
      </c>
      <c r="M50" s="52" t="s">
        <v>152</v>
      </c>
      <c r="N50" s="52"/>
      <c r="O50" s="53" t="s">
        <v>153</v>
      </c>
      <c r="P50" s="53" t="s">
        <v>43</v>
      </c>
    </row>
    <row r="51" spans="1:16" ht="12.75" customHeight="1" x14ac:dyDescent="0.2">
      <c r="A51" s="24" t="str">
        <f t="shared" si="0"/>
        <v> MVS 410 </v>
      </c>
      <c r="B51" s="14" t="str">
        <f t="shared" si="1"/>
        <v>I</v>
      </c>
      <c r="C51" s="24">
        <f t="shared" si="2"/>
        <v>35845.423999999999</v>
      </c>
      <c r="D51" t="str">
        <f t="shared" si="3"/>
        <v>vis</v>
      </c>
      <c r="E51">
        <f>VLOOKUP(C51,Active!C$21:E$973,3,FALSE)</f>
        <v>8100.9848613760578</v>
      </c>
      <c r="F51" s="14" t="s">
        <v>71</v>
      </c>
      <c r="G51" t="str">
        <f t="shared" si="4"/>
        <v>35845.424</v>
      </c>
      <c r="H51" s="24">
        <f t="shared" si="5"/>
        <v>8101</v>
      </c>
      <c r="I51" s="51" t="s">
        <v>229</v>
      </c>
      <c r="J51" s="52" t="s">
        <v>230</v>
      </c>
      <c r="K51" s="51">
        <v>8101</v>
      </c>
      <c r="L51" s="51" t="s">
        <v>231</v>
      </c>
      <c r="M51" s="52" t="s">
        <v>152</v>
      </c>
      <c r="N51" s="52"/>
      <c r="O51" s="53" t="s">
        <v>153</v>
      </c>
      <c r="P51" s="53" t="s">
        <v>43</v>
      </c>
    </row>
    <row r="52" spans="1:16" ht="12.75" customHeight="1" x14ac:dyDescent="0.2">
      <c r="A52" s="24" t="str">
        <f t="shared" si="0"/>
        <v> MVS 410 </v>
      </c>
      <c r="B52" s="14" t="str">
        <f t="shared" si="1"/>
        <v>I</v>
      </c>
      <c r="C52" s="24">
        <f t="shared" si="2"/>
        <v>35892.31</v>
      </c>
      <c r="D52" t="str">
        <f t="shared" si="3"/>
        <v>vis</v>
      </c>
      <c r="E52">
        <f>VLOOKUP(C52,Active!C$21:E$973,3,FALSE)</f>
        <v>8150.974263443698</v>
      </c>
      <c r="F52" s="14" t="s">
        <v>71</v>
      </c>
      <c r="G52" t="str">
        <f t="shared" si="4"/>
        <v>35892.310</v>
      </c>
      <c r="H52" s="24">
        <f t="shared" si="5"/>
        <v>8151</v>
      </c>
      <c r="I52" s="51" t="s">
        <v>232</v>
      </c>
      <c r="J52" s="52" t="s">
        <v>233</v>
      </c>
      <c r="K52" s="51">
        <v>8151</v>
      </c>
      <c r="L52" s="51" t="s">
        <v>234</v>
      </c>
      <c r="M52" s="52" t="s">
        <v>152</v>
      </c>
      <c r="N52" s="52"/>
      <c r="O52" s="53" t="s">
        <v>153</v>
      </c>
      <c r="P52" s="53" t="s">
        <v>43</v>
      </c>
    </row>
    <row r="53" spans="1:16" ht="12.75" customHeight="1" x14ac:dyDescent="0.2">
      <c r="A53" s="24" t="str">
        <f t="shared" si="0"/>
        <v> MVS 410 </v>
      </c>
      <c r="B53" s="14" t="str">
        <f t="shared" si="1"/>
        <v>I</v>
      </c>
      <c r="C53" s="24">
        <f t="shared" si="2"/>
        <v>35893.296999999999</v>
      </c>
      <c r="D53" t="str">
        <f t="shared" si="3"/>
        <v>vis</v>
      </c>
      <c r="E53">
        <f>VLOOKUP(C53,Active!C$21:E$973,3,FALSE)</f>
        <v>8152.0265933468845</v>
      </c>
      <c r="F53" s="14" t="s">
        <v>71</v>
      </c>
      <c r="G53" t="str">
        <f t="shared" si="4"/>
        <v>35893.297</v>
      </c>
      <c r="H53" s="24">
        <f t="shared" si="5"/>
        <v>8152</v>
      </c>
      <c r="I53" s="51" t="s">
        <v>235</v>
      </c>
      <c r="J53" s="52" t="s">
        <v>236</v>
      </c>
      <c r="K53" s="51">
        <v>8152</v>
      </c>
      <c r="L53" s="51" t="s">
        <v>159</v>
      </c>
      <c r="M53" s="52" t="s">
        <v>152</v>
      </c>
      <c r="N53" s="52"/>
      <c r="O53" s="53" t="s">
        <v>153</v>
      </c>
      <c r="P53" s="53" t="s">
        <v>43</v>
      </c>
    </row>
    <row r="54" spans="1:16" ht="12.75" customHeight="1" x14ac:dyDescent="0.2">
      <c r="A54" s="24" t="str">
        <f t="shared" si="0"/>
        <v> MVS 410 </v>
      </c>
      <c r="B54" s="14" t="str">
        <f t="shared" si="1"/>
        <v>I</v>
      </c>
      <c r="C54" s="24">
        <f t="shared" si="2"/>
        <v>36144.627999999997</v>
      </c>
      <c r="D54" t="str">
        <f t="shared" si="3"/>
        <v>vis</v>
      </c>
      <c r="E54">
        <f>VLOOKUP(C54,Active!C$21:E$973,3,FALSE)</f>
        <v>8419.9932872653753</v>
      </c>
      <c r="F54" s="14" t="s">
        <v>71</v>
      </c>
      <c r="G54" t="str">
        <f t="shared" si="4"/>
        <v>36144.628</v>
      </c>
      <c r="H54" s="24">
        <f t="shared" si="5"/>
        <v>8420</v>
      </c>
      <c r="I54" s="51" t="s">
        <v>237</v>
      </c>
      <c r="J54" s="52" t="s">
        <v>238</v>
      </c>
      <c r="K54" s="51">
        <v>8420</v>
      </c>
      <c r="L54" s="51" t="s">
        <v>239</v>
      </c>
      <c r="M54" s="52" t="s">
        <v>152</v>
      </c>
      <c r="N54" s="52"/>
      <c r="O54" s="53" t="s">
        <v>153</v>
      </c>
      <c r="P54" s="53" t="s">
        <v>43</v>
      </c>
    </row>
    <row r="55" spans="1:16" ht="12.75" customHeight="1" x14ac:dyDescent="0.2">
      <c r="A55" s="24" t="str">
        <f t="shared" si="0"/>
        <v>BAVM 79 </v>
      </c>
      <c r="B55" s="14" t="str">
        <f t="shared" si="1"/>
        <v>I</v>
      </c>
      <c r="C55" s="24">
        <f t="shared" si="2"/>
        <v>48520.502</v>
      </c>
      <c r="D55" t="str">
        <f t="shared" si="3"/>
        <v>vis</v>
      </c>
      <c r="E55">
        <f>VLOOKUP(C55,Active!C$21:E$973,3,FALSE)</f>
        <v>21615.031066655236</v>
      </c>
      <c r="F55" s="14" t="s">
        <v>71</v>
      </c>
      <c r="G55" t="str">
        <f t="shared" si="4"/>
        <v>48520.502</v>
      </c>
      <c r="H55" s="24">
        <f t="shared" si="5"/>
        <v>21615</v>
      </c>
      <c r="I55" s="51" t="s">
        <v>240</v>
      </c>
      <c r="J55" s="52" t="s">
        <v>241</v>
      </c>
      <c r="K55" s="51">
        <v>21615</v>
      </c>
      <c r="L55" s="51" t="s">
        <v>242</v>
      </c>
      <c r="M55" s="52" t="s">
        <v>243</v>
      </c>
      <c r="N55" s="52"/>
      <c r="O55" s="53" t="s">
        <v>244</v>
      </c>
      <c r="P55" s="54" t="s">
        <v>46</v>
      </c>
    </row>
    <row r="56" spans="1:16" ht="12.75" customHeight="1" x14ac:dyDescent="0.2">
      <c r="A56" s="24" t="str">
        <f t="shared" si="0"/>
        <v> BBS 126 </v>
      </c>
      <c r="B56" s="14" t="str">
        <f t="shared" si="1"/>
        <v>I</v>
      </c>
      <c r="C56" s="24">
        <f t="shared" si="2"/>
        <v>52193.387999999999</v>
      </c>
      <c r="D56" t="str">
        <f t="shared" si="3"/>
        <v>vis</v>
      </c>
      <c r="E56">
        <f>VLOOKUP(C56,Active!C$21:E$973,3,FALSE)</f>
        <v>25531.026779716962</v>
      </c>
      <c r="F56" s="14" t="s">
        <v>71</v>
      </c>
      <c r="G56" t="str">
        <f t="shared" si="4"/>
        <v>52193.388</v>
      </c>
      <c r="H56" s="24">
        <f t="shared" si="5"/>
        <v>25531</v>
      </c>
      <c r="I56" s="51" t="s">
        <v>245</v>
      </c>
      <c r="J56" s="52" t="s">
        <v>246</v>
      </c>
      <c r="K56" s="51">
        <v>25531</v>
      </c>
      <c r="L56" s="51" t="s">
        <v>159</v>
      </c>
      <c r="M56" s="52" t="s">
        <v>75</v>
      </c>
      <c r="N56" s="52" t="s">
        <v>76</v>
      </c>
      <c r="O56" s="53" t="s">
        <v>77</v>
      </c>
      <c r="P56" s="53" t="s">
        <v>48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18" r:id="rId7" xr:uid="{00000000-0004-0000-0100-000006000000}"/>
    <hyperlink ref="P19" r:id="rId8" xr:uid="{00000000-0004-0000-0100-000007000000}"/>
    <hyperlink ref="P20" r:id="rId9" xr:uid="{00000000-0004-0000-0100-000008000000}"/>
    <hyperlink ref="P21" r:id="rId10" xr:uid="{00000000-0004-0000-0100-000009000000}"/>
    <hyperlink ref="P22" r:id="rId11" xr:uid="{00000000-0004-0000-0100-00000A000000}"/>
    <hyperlink ref="P23" r:id="rId12" xr:uid="{00000000-0004-0000-0100-00000B000000}"/>
    <hyperlink ref="P55" r:id="rId13" xr:uid="{00000000-0004-0000-0100-00000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3"/>
  <sheetViews>
    <sheetView workbookViewId="0">
      <selection activeCell="F23" sqref="F23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247</v>
      </c>
    </row>
    <row r="2" spans="1:4" x14ac:dyDescent="0.2">
      <c r="A2" s="1" t="s">
        <v>1</v>
      </c>
      <c r="B2" s="1" t="s">
        <v>248</v>
      </c>
    </row>
    <row r="4" spans="1:4" x14ac:dyDescent="0.2">
      <c r="A4" s="3" t="s">
        <v>3</v>
      </c>
      <c r="C4" s="4">
        <v>28247.358</v>
      </c>
      <c r="D4" s="5">
        <v>0.93791880000000005</v>
      </c>
    </row>
    <row r="6" spans="1:4" x14ac:dyDescent="0.2">
      <c r="A6" s="3" t="s">
        <v>6</v>
      </c>
    </row>
    <row r="7" spans="1:4" x14ac:dyDescent="0.2">
      <c r="A7" s="1" t="s">
        <v>7</v>
      </c>
      <c r="C7" s="1">
        <f>+C4</f>
        <v>28247.358</v>
      </c>
    </row>
    <row r="8" spans="1:4" x14ac:dyDescent="0.2">
      <c r="A8" s="1" t="s">
        <v>8</v>
      </c>
      <c r="C8" s="1">
        <f>+D4</f>
        <v>0.93791880000000005</v>
      </c>
    </row>
    <row r="10" spans="1:4" x14ac:dyDescent="0.2">
      <c r="C10" s="12" t="s">
        <v>10</v>
      </c>
      <c r="D10" s="12" t="s">
        <v>11</v>
      </c>
    </row>
    <row r="11" spans="1:4" x14ac:dyDescent="0.2">
      <c r="A11" s="1" t="s">
        <v>12</v>
      </c>
      <c r="C11" s="1">
        <f>INTERCEPT(G21:G29,F21:F29)</f>
        <v>-1.4586062394794652E-3</v>
      </c>
      <c r="D11" s="14"/>
    </row>
    <row r="12" spans="1:4" x14ac:dyDescent="0.2">
      <c r="A12" s="1" t="s">
        <v>13</v>
      </c>
      <c r="C12" s="1">
        <f>SLOPE(G21:G29,F21:F29)</f>
        <v>-1.7082388706278601E-5</v>
      </c>
      <c r="D12" s="14"/>
    </row>
    <row r="13" spans="1:4" x14ac:dyDescent="0.2">
      <c r="A13" s="1" t="s">
        <v>14</v>
      </c>
      <c r="C13" s="14" t="s">
        <v>15</v>
      </c>
      <c r="D13" s="14"/>
    </row>
    <row r="14" spans="1:4" x14ac:dyDescent="0.2">
      <c r="A14" s="1" t="s">
        <v>249</v>
      </c>
    </row>
    <row r="15" spans="1:4" x14ac:dyDescent="0.2">
      <c r="A15" s="3" t="s">
        <v>16</v>
      </c>
      <c r="C15" s="1">
        <v>50850.302000000003</v>
      </c>
    </row>
    <row r="16" spans="1:4" x14ac:dyDescent="0.2">
      <c r="A16" s="3" t="s">
        <v>18</v>
      </c>
      <c r="C16" s="1">
        <f>+C8+C12</f>
        <v>0.93790171761129382</v>
      </c>
    </row>
    <row r="18" spans="1:31" x14ac:dyDescent="0.2">
      <c r="A18" s="3" t="s">
        <v>22</v>
      </c>
      <c r="C18" s="4">
        <f>+C15</f>
        <v>50850.302000000003</v>
      </c>
      <c r="D18" s="5">
        <f>+C16</f>
        <v>0.93790171761129382</v>
      </c>
    </row>
    <row r="20" spans="1:31" x14ac:dyDescent="0.2">
      <c r="A20" s="12" t="s">
        <v>25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31</v>
      </c>
      <c r="H20" s="20" t="s">
        <v>45</v>
      </c>
      <c r="I20" s="20" t="s">
        <v>250</v>
      </c>
      <c r="J20" s="20" t="s">
        <v>251</v>
      </c>
      <c r="K20" s="20" t="s">
        <v>252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2" t="s">
        <v>41</v>
      </c>
    </row>
    <row r="21" spans="1:31" x14ac:dyDescent="0.2">
      <c r="A21" s="1" t="s">
        <v>45</v>
      </c>
      <c r="C21" s="1">
        <v>28247.358</v>
      </c>
      <c r="D21" s="14" t="s">
        <v>15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>+C$11+C$12*F21</f>
        <v>-1.4586062394794652E-3</v>
      </c>
      <c r="Q21" s="25">
        <f>+C21-15018.5</f>
        <v>13228.858</v>
      </c>
    </row>
    <row r="22" spans="1:31" x14ac:dyDescent="0.2">
      <c r="A22" s="1" t="s">
        <v>47</v>
      </c>
      <c r="C22" s="1">
        <v>50850.302000000003</v>
      </c>
      <c r="D22" s="1">
        <v>2E-3</v>
      </c>
      <c r="E22" s="1">
        <f>+(C22-C$7)/C$8</f>
        <v>24099.041409554859</v>
      </c>
      <c r="F22" s="1">
        <f>ROUND(2*E22,0)/2+0.5</f>
        <v>24099.5</v>
      </c>
      <c r="G22" s="1">
        <f>+C22-(C$7+F22*C$8)</f>
        <v>-0.43012060000182828</v>
      </c>
      <c r="I22" s="1">
        <f>G22</f>
        <v>-0.43012060000182828</v>
      </c>
      <c r="O22" s="1">
        <f>+C$11+C$12*F22</f>
        <v>-0.41313563286644062</v>
      </c>
      <c r="Q22" s="25">
        <f>+C22-15018.5</f>
        <v>35831.802000000003</v>
      </c>
    </row>
    <row r="23" spans="1:31" x14ac:dyDescent="0.2">
      <c r="A23" s="1" t="s">
        <v>253</v>
      </c>
      <c r="C23" s="55">
        <v>52973.743999999999</v>
      </c>
      <c r="D23" s="14">
        <v>4.0000000000000002E-4</v>
      </c>
      <c r="E23" s="1">
        <f>+(C23-C$7)/C$8</f>
        <v>26363.034838410316</v>
      </c>
      <c r="F23" s="1">
        <f>ROUND(2*E23,0)/2+0.5</f>
        <v>26363.5</v>
      </c>
      <c r="G23" s="1">
        <f>+C23-(C$7+F23*C$8)</f>
        <v>-0.43628380000154721</v>
      </c>
      <c r="J23" s="1">
        <f>G23</f>
        <v>-0.43628380000154721</v>
      </c>
      <c r="O23" s="1">
        <f>+C$11+C$12*F23</f>
        <v>-0.45181016089745535</v>
      </c>
      <c r="Q23" s="25">
        <f>+C23-15018.5</f>
        <v>37955.243999999999</v>
      </c>
      <c r="AA23" s="1">
        <v>31</v>
      </c>
      <c r="AC23" s="1" t="s">
        <v>51</v>
      </c>
      <c r="AE23" s="1" t="s">
        <v>52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2023-08-06T03:08:44Z</dcterms:created>
  <dcterms:modified xsi:type="dcterms:W3CDTF">2024-03-03T05:07:32Z</dcterms:modified>
</cp:coreProperties>
</file>