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65664E-0224-4B5C-ADD7-D1EFAD602C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96" i="1" l="1"/>
  <c r="D9" i="1"/>
  <c r="C9" i="1"/>
  <c r="Q89" i="1"/>
  <c r="Q85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29" i="1"/>
  <c r="Q28" i="1"/>
  <c r="Q27" i="1"/>
  <c r="Q26" i="1"/>
  <c r="Q25" i="1"/>
  <c r="Q24" i="1"/>
  <c r="Q23" i="1"/>
  <c r="Q22" i="1"/>
  <c r="Q21" i="1"/>
  <c r="G37" i="2"/>
  <c r="C37" i="2"/>
  <c r="G86" i="2"/>
  <c r="C86" i="2"/>
  <c r="G36" i="2"/>
  <c r="C36" i="2"/>
  <c r="G35" i="2"/>
  <c r="C35" i="2"/>
  <c r="G34" i="2"/>
  <c r="C34" i="2"/>
  <c r="G33" i="2"/>
  <c r="C33" i="2"/>
  <c r="G32" i="2"/>
  <c r="C32" i="2"/>
  <c r="G31" i="2"/>
  <c r="C31" i="2"/>
  <c r="G85" i="2"/>
  <c r="C85" i="2"/>
  <c r="G30" i="2"/>
  <c r="C30" i="2"/>
  <c r="G29" i="2"/>
  <c r="C29" i="2"/>
  <c r="G28" i="2"/>
  <c r="C28" i="2"/>
  <c r="G84" i="2"/>
  <c r="C84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H37" i="2"/>
  <c r="B37" i="2"/>
  <c r="D37" i="2"/>
  <c r="A37" i="2"/>
  <c r="H86" i="2"/>
  <c r="D86" i="2"/>
  <c r="B86" i="2"/>
  <c r="A86" i="2"/>
  <c r="H36" i="2"/>
  <c r="B36" i="2"/>
  <c r="D36" i="2"/>
  <c r="A36" i="2"/>
  <c r="H35" i="2"/>
  <c r="D35" i="2"/>
  <c r="B35" i="2"/>
  <c r="A35" i="2"/>
  <c r="H34" i="2"/>
  <c r="F34" i="2"/>
  <c r="D34" i="2"/>
  <c r="B34" i="2"/>
  <c r="A34" i="2"/>
  <c r="H33" i="2"/>
  <c r="B33" i="2"/>
  <c r="F33" i="2"/>
  <c r="D33" i="2"/>
  <c r="A33" i="2"/>
  <c r="H32" i="2"/>
  <c r="F32" i="2"/>
  <c r="D32" i="2"/>
  <c r="B32" i="2"/>
  <c r="A32" i="2"/>
  <c r="H31" i="2"/>
  <c r="F31" i="2"/>
  <c r="D31" i="2"/>
  <c r="B31" i="2"/>
  <c r="A31" i="2"/>
  <c r="H85" i="2"/>
  <c r="B85" i="2"/>
  <c r="F85" i="2"/>
  <c r="D85" i="2"/>
  <c r="A85" i="2"/>
  <c r="H30" i="2"/>
  <c r="D30" i="2"/>
  <c r="B30" i="2"/>
  <c r="A30" i="2"/>
  <c r="H29" i="2"/>
  <c r="B29" i="2"/>
  <c r="D29" i="2"/>
  <c r="A29" i="2"/>
  <c r="H28" i="2"/>
  <c r="B28" i="2"/>
  <c r="D28" i="2"/>
  <c r="A28" i="2"/>
  <c r="H84" i="2"/>
  <c r="B84" i="2"/>
  <c r="D84" i="2"/>
  <c r="A84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Q93" i="1"/>
  <c r="C7" i="1"/>
  <c r="E32" i="1"/>
  <c r="C8" i="1"/>
  <c r="Q97" i="1"/>
  <c r="Q95" i="1"/>
  <c r="Q94" i="1"/>
  <c r="F16" i="1"/>
  <c r="C17" i="1"/>
  <c r="Q90" i="1"/>
  <c r="Q92" i="1"/>
  <c r="Q91" i="1"/>
  <c r="Q88" i="1"/>
  <c r="Q8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6" i="1"/>
  <c r="Q30" i="1"/>
  <c r="E38" i="2"/>
  <c r="F32" i="1"/>
  <c r="E48" i="2"/>
  <c r="E33" i="2"/>
  <c r="E36" i="2"/>
  <c r="E40" i="1"/>
  <c r="E31" i="2"/>
  <c r="E76" i="1"/>
  <c r="F76" i="1"/>
  <c r="E70" i="2"/>
  <c r="E23" i="2"/>
  <c r="E56" i="1"/>
  <c r="E71" i="2"/>
  <c r="E28" i="2"/>
  <c r="E94" i="1"/>
  <c r="F94" i="1"/>
  <c r="G70" i="1"/>
  <c r="L70" i="1"/>
  <c r="E26" i="1"/>
  <c r="F26" i="1"/>
  <c r="G28" i="1"/>
  <c r="L28" i="1"/>
  <c r="E35" i="1"/>
  <c r="F35" i="1"/>
  <c r="E43" i="1"/>
  <c r="F43" i="1"/>
  <c r="G43" i="1"/>
  <c r="L43" i="1"/>
  <c r="G45" i="1"/>
  <c r="L45" i="1"/>
  <c r="E51" i="1"/>
  <c r="F51" i="1"/>
  <c r="E59" i="1"/>
  <c r="F59" i="1"/>
  <c r="G61" i="1"/>
  <c r="L61" i="1"/>
  <c r="E67" i="1"/>
  <c r="F67" i="1"/>
  <c r="E71" i="1"/>
  <c r="F71" i="1"/>
  <c r="G71" i="1"/>
  <c r="L71" i="1"/>
  <c r="G73" i="1"/>
  <c r="L73" i="1"/>
  <c r="E79" i="1"/>
  <c r="F79" i="1"/>
  <c r="E88" i="1"/>
  <c r="F88" i="1"/>
  <c r="G91" i="1"/>
  <c r="K91" i="1"/>
  <c r="E21" i="1"/>
  <c r="F21" i="1"/>
  <c r="E29" i="1"/>
  <c r="F29" i="1"/>
  <c r="G29" i="1"/>
  <c r="L29" i="1"/>
  <c r="G32" i="1"/>
  <c r="L32" i="1"/>
  <c r="E38" i="1"/>
  <c r="F38" i="1"/>
  <c r="E46" i="1"/>
  <c r="F46" i="1"/>
  <c r="E54" i="1"/>
  <c r="F54" i="1"/>
  <c r="E62" i="1"/>
  <c r="F62" i="1"/>
  <c r="G62" i="1"/>
  <c r="L62" i="1"/>
  <c r="E96" i="1"/>
  <c r="F96" i="1"/>
  <c r="G68" i="1"/>
  <c r="L68" i="1"/>
  <c r="E74" i="1"/>
  <c r="F74" i="1"/>
  <c r="G76" i="1"/>
  <c r="L76" i="1"/>
  <c r="E82" i="1"/>
  <c r="F82" i="1"/>
  <c r="E92" i="1"/>
  <c r="F92" i="1"/>
  <c r="G92" i="1"/>
  <c r="K92" i="1"/>
  <c r="G94" i="1"/>
  <c r="K94" i="1"/>
  <c r="E24" i="1"/>
  <c r="G26" i="1"/>
  <c r="L26" i="1"/>
  <c r="E33" i="1"/>
  <c r="F33" i="1"/>
  <c r="G35" i="1"/>
  <c r="L35" i="1"/>
  <c r="E41" i="1"/>
  <c r="F41" i="1"/>
  <c r="E49" i="1"/>
  <c r="F49" i="1"/>
  <c r="G49" i="1"/>
  <c r="L49" i="1"/>
  <c r="G51" i="1"/>
  <c r="L51" i="1"/>
  <c r="E57" i="1"/>
  <c r="F57" i="1"/>
  <c r="G59" i="1"/>
  <c r="L59" i="1"/>
  <c r="E65" i="1"/>
  <c r="F65" i="1"/>
  <c r="G67" i="1"/>
  <c r="L67" i="1"/>
  <c r="E69" i="1"/>
  <c r="F69" i="1"/>
  <c r="E77" i="1"/>
  <c r="F77" i="1"/>
  <c r="G77" i="1"/>
  <c r="L77" i="1"/>
  <c r="G79" i="1"/>
  <c r="L79" i="1"/>
  <c r="E86" i="1"/>
  <c r="F86" i="1"/>
  <c r="G88" i="1"/>
  <c r="J88" i="1"/>
  <c r="E95" i="1"/>
  <c r="F95" i="1"/>
  <c r="G21" i="1"/>
  <c r="E27" i="1"/>
  <c r="F27" i="1"/>
  <c r="E36" i="1"/>
  <c r="F36" i="1"/>
  <c r="G36" i="1"/>
  <c r="L36" i="1"/>
  <c r="G38" i="1"/>
  <c r="L38" i="1"/>
  <c r="E44" i="1"/>
  <c r="G46" i="1"/>
  <c r="L46" i="1"/>
  <c r="E52" i="1"/>
  <c r="G54" i="1"/>
  <c r="L54" i="1"/>
  <c r="E60" i="1"/>
  <c r="F60" i="1"/>
  <c r="E85" i="1"/>
  <c r="F85" i="1"/>
  <c r="G85" i="1"/>
  <c r="L85" i="1"/>
  <c r="G96" i="1"/>
  <c r="L96" i="1"/>
  <c r="E72" i="1"/>
  <c r="F72" i="1"/>
  <c r="G74" i="1"/>
  <c r="L74" i="1"/>
  <c r="E80" i="1"/>
  <c r="F80" i="1"/>
  <c r="G82" i="1"/>
  <c r="L82" i="1"/>
  <c r="E90" i="1"/>
  <c r="F90" i="1"/>
  <c r="E22" i="1"/>
  <c r="F22" i="1"/>
  <c r="G22" i="1"/>
  <c r="L22" i="1"/>
  <c r="E31" i="1"/>
  <c r="F31" i="1"/>
  <c r="G33" i="1"/>
  <c r="L33" i="1"/>
  <c r="E39" i="1"/>
  <c r="F39" i="1"/>
  <c r="G41" i="1"/>
  <c r="L41" i="1"/>
  <c r="E47" i="1"/>
  <c r="F47" i="1"/>
  <c r="E55" i="1"/>
  <c r="F55" i="1"/>
  <c r="G55" i="1"/>
  <c r="L55" i="1"/>
  <c r="G57" i="1"/>
  <c r="L57" i="1"/>
  <c r="E63" i="1"/>
  <c r="F63" i="1"/>
  <c r="G65" i="1"/>
  <c r="L65" i="1"/>
  <c r="E30" i="1"/>
  <c r="F30" i="1"/>
  <c r="G69" i="1"/>
  <c r="L69" i="1"/>
  <c r="E75" i="1"/>
  <c r="F75" i="1"/>
  <c r="E83" i="1"/>
  <c r="F83" i="1"/>
  <c r="G83" i="1"/>
  <c r="L83" i="1"/>
  <c r="G86" i="1"/>
  <c r="J86" i="1"/>
  <c r="E93" i="1"/>
  <c r="F93" i="1"/>
  <c r="G95" i="1"/>
  <c r="K95" i="1"/>
  <c r="E25" i="1"/>
  <c r="F25" i="1"/>
  <c r="G27" i="1"/>
  <c r="L27" i="1"/>
  <c r="E34" i="1"/>
  <c r="E42" i="1"/>
  <c r="F42" i="1"/>
  <c r="E50" i="1"/>
  <c r="F50" i="1"/>
  <c r="E58" i="1"/>
  <c r="F58" i="1"/>
  <c r="G58" i="1"/>
  <c r="L58" i="1"/>
  <c r="G60" i="1"/>
  <c r="L60" i="1"/>
  <c r="E66" i="1"/>
  <c r="F66" i="1"/>
  <c r="E70" i="1"/>
  <c r="F70" i="1"/>
  <c r="G72" i="1"/>
  <c r="L72" i="1"/>
  <c r="E78" i="1"/>
  <c r="F78" i="1"/>
  <c r="G78" i="1"/>
  <c r="L78" i="1"/>
  <c r="G80" i="1"/>
  <c r="L80" i="1"/>
  <c r="E87" i="1"/>
  <c r="F87" i="1"/>
  <c r="G90" i="1"/>
  <c r="K90" i="1"/>
  <c r="E97" i="1"/>
  <c r="F97" i="1"/>
  <c r="G97" i="1"/>
  <c r="K97" i="1"/>
  <c r="E28" i="1"/>
  <c r="F28" i="1"/>
  <c r="G31" i="1"/>
  <c r="L31" i="1"/>
  <c r="E37" i="1"/>
  <c r="F37" i="1"/>
  <c r="G37" i="1"/>
  <c r="L37" i="1"/>
  <c r="G39" i="1"/>
  <c r="L39" i="1"/>
  <c r="E45" i="1"/>
  <c r="F45" i="1"/>
  <c r="G47" i="1"/>
  <c r="L47" i="1"/>
  <c r="E53" i="1"/>
  <c r="F53" i="1"/>
  <c r="G53" i="1"/>
  <c r="L53" i="1"/>
  <c r="E61" i="1"/>
  <c r="F61" i="1"/>
  <c r="G63" i="1"/>
  <c r="L63" i="1"/>
  <c r="E89" i="1"/>
  <c r="F89" i="1"/>
  <c r="G89" i="1"/>
  <c r="L89" i="1"/>
  <c r="G30" i="1"/>
  <c r="H30" i="1"/>
  <c r="E73" i="1"/>
  <c r="F73" i="1"/>
  <c r="G75" i="1"/>
  <c r="L75" i="1"/>
  <c r="E81" i="1"/>
  <c r="F81" i="1"/>
  <c r="G81" i="1"/>
  <c r="L81" i="1"/>
  <c r="E91" i="1"/>
  <c r="F91" i="1"/>
  <c r="G93" i="1"/>
  <c r="K93" i="1"/>
  <c r="E45" i="2"/>
  <c r="E49" i="2"/>
  <c r="E62" i="2"/>
  <c r="E66" i="2"/>
  <c r="E14" i="2"/>
  <c r="E68" i="1"/>
  <c r="F68" i="1"/>
  <c r="G50" i="1"/>
  <c r="L50" i="1"/>
  <c r="E54" i="2"/>
  <c r="E63" i="2"/>
  <c r="E67" i="2"/>
  <c r="E77" i="2"/>
  <c r="E20" i="2"/>
  <c r="E25" i="2"/>
  <c r="E34" i="2"/>
  <c r="G87" i="1"/>
  <c r="J87" i="1"/>
  <c r="E48" i="1"/>
  <c r="G25" i="1"/>
  <c r="L25" i="1"/>
  <c r="E46" i="2"/>
  <c r="E83" i="2"/>
  <c r="E15" i="2"/>
  <c r="E26" i="2"/>
  <c r="E30" i="2"/>
  <c r="E84" i="1"/>
  <c r="F84" i="1"/>
  <c r="G84" i="1"/>
  <c r="L84" i="1"/>
  <c r="G66" i="1"/>
  <c r="L66" i="1"/>
  <c r="E23" i="1"/>
  <c r="E39" i="2"/>
  <c r="E47" i="2"/>
  <c r="E59" i="2"/>
  <c r="E73" i="2"/>
  <c r="E78" i="2"/>
  <c r="E16" i="2"/>
  <c r="E21" i="2"/>
  <c r="E35" i="2"/>
  <c r="E64" i="1"/>
  <c r="F64" i="1"/>
  <c r="G64" i="1"/>
  <c r="L64" i="1"/>
  <c r="G42" i="1"/>
  <c r="L42" i="1"/>
  <c r="E24" i="2"/>
  <c r="E65" i="2"/>
  <c r="E84" i="2"/>
  <c r="E79" i="2"/>
  <c r="E27" i="2"/>
  <c r="F56" i="1"/>
  <c r="G56" i="1"/>
  <c r="L56" i="1"/>
  <c r="E72" i="2"/>
  <c r="E85" i="2"/>
  <c r="E55" i="2"/>
  <c r="E82" i="2"/>
  <c r="E29" i="2"/>
  <c r="E13" i="2"/>
  <c r="E37" i="2"/>
  <c r="E61" i="2"/>
  <c r="E17" i="2"/>
  <c r="E51" i="2"/>
  <c r="E58" i="2"/>
  <c r="F23" i="1"/>
  <c r="G23" i="1"/>
  <c r="E40" i="2"/>
  <c r="F34" i="1"/>
  <c r="G34" i="1"/>
  <c r="L34" i="1"/>
  <c r="E50" i="2"/>
  <c r="E81" i="2"/>
  <c r="E32" i="2"/>
  <c r="E22" i="2"/>
  <c r="E12" i="2"/>
  <c r="E19" i="2"/>
  <c r="L21" i="1"/>
  <c r="E69" i="2"/>
  <c r="E74" i="2"/>
  <c r="E76" i="2"/>
  <c r="F48" i="1"/>
  <c r="G48" i="1"/>
  <c r="L48" i="1"/>
  <c r="E64" i="2"/>
  <c r="F52" i="1"/>
  <c r="G52" i="1"/>
  <c r="L52" i="1"/>
  <c r="E68" i="2"/>
  <c r="E57" i="2"/>
  <c r="E18" i="2"/>
  <c r="E43" i="2"/>
  <c r="E52" i="2"/>
  <c r="E44" i="2"/>
  <c r="E53" i="2"/>
  <c r="E80" i="2"/>
  <c r="F40" i="1"/>
  <c r="G40" i="1"/>
  <c r="L40" i="1"/>
  <c r="E56" i="2"/>
  <c r="E11" i="2"/>
  <c r="F44" i="1"/>
  <c r="G44" i="1"/>
  <c r="L44" i="1"/>
  <c r="E60" i="2"/>
  <c r="F24" i="1"/>
  <c r="G24" i="1"/>
  <c r="L24" i="1"/>
  <c r="E41" i="2"/>
  <c r="E75" i="2"/>
  <c r="E86" i="2"/>
  <c r="E42" i="2"/>
  <c r="L23" i="1"/>
  <c r="C12" i="1"/>
  <c r="C11" i="1"/>
  <c r="O25" i="1" l="1"/>
  <c r="O60" i="1"/>
  <c r="O41" i="1"/>
  <c r="O29" i="1"/>
  <c r="O64" i="1"/>
  <c r="O81" i="1"/>
  <c r="O79" i="1"/>
  <c r="O30" i="1"/>
  <c r="O80" i="1"/>
  <c r="C15" i="1"/>
  <c r="O54" i="1"/>
  <c r="O34" i="1"/>
  <c r="O71" i="1"/>
  <c r="O63" i="1"/>
  <c r="O52" i="1"/>
  <c r="O33" i="1"/>
  <c r="O21" i="1"/>
  <c r="O56" i="1"/>
  <c r="O84" i="1"/>
  <c r="O95" i="1"/>
  <c r="O69" i="1"/>
  <c r="O70" i="1"/>
  <c r="O97" i="1"/>
  <c r="O55" i="1"/>
  <c r="O44" i="1"/>
  <c r="O24" i="1"/>
  <c r="O67" i="1"/>
  <c r="O48" i="1"/>
  <c r="O89" i="1"/>
  <c r="O74" i="1"/>
  <c r="O77" i="1"/>
  <c r="O94" i="1"/>
  <c r="O31" i="1"/>
  <c r="O23" i="1"/>
  <c r="O93" i="1"/>
  <c r="O22" i="1"/>
  <c r="O57" i="1"/>
  <c r="O90" i="1"/>
  <c r="O92" i="1"/>
  <c r="O38" i="1"/>
  <c r="O26" i="1"/>
  <c r="O78" i="1"/>
  <c r="O66" i="1"/>
  <c r="O47" i="1"/>
  <c r="O36" i="1"/>
  <c r="O96" i="1"/>
  <c r="O59" i="1"/>
  <c r="O40" i="1"/>
  <c r="O37" i="1"/>
  <c r="O82" i="1"/>
  <c r="O86" i="1"/>
  <c r="O87" i="1"/>
  <c r="O75" i="1"/>
  <c r="O50" i="1"/>
  <c r="O43" i="1"/>
  <c r="O28" i="1"/>
  <c r="O83" i="1"/>
  <c r="O42" i="1"/>
  <c r="O35" i="1"/>
  <c r="O88" i="1"/>
  <c r="O45" i="1"/>
  <c r="O85" i="1"/>
  <c r="O73" i="1"/>
  <c r="O72" i="1"/>
  <c r="O58" i="1"/>
  <c r="O39" i="1"/>
  <c r="O27" i="1"/>
  <c r="O62" i="1"/>
  <c r="O51" i="1"/>
  <c r="O32" i="1"/>
  <c r="O68" i="1"/>
  <c r="O61" i="1"/>
  <c r="O53" i="1"/>
  <c r="O76" i="1"/>
  <c r="O46" i="1"/>
  <c r="O49" i="1"/>
  <c r="O91" i="1"/>
  <c r="O6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<sst xmlns="http://schemas.openxmlformats.org/spreadsheetml/2006/main" count="766" uniqueCount="343">
  <si>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</si>
  <si>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</si>
  <si>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</si>
  <si>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</si>
  <si>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</si>
  <si>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</si>
  <si>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</si>
  <si>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</si>
  <si>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</si>
  <si>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</si>
  <si>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</si>
  <si>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</si>
  <si>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</si>
  <si>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</si>
  <si>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</si>
  <si>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</si>
  <si>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</si>
  <si>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</si>
  <si>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</si>
  <si>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</si>
  <si>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</si>
  <si>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</si>
  <si>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</si>
  <si>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</si>
  <si>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</si>
  <si>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</si>
  <si>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</si>
  <si>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</si>
  <si>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Bull.39</t>
  </si>
  <si>
    <t>B</t>
  </si>
  <si>
    <t>BBSAG Bull.41</t>
  </si>
  <si>
    <t>BBSAG Bull.42</t>
  </si>
  <si>
    <t>BBSAG Bull.44</t>
  </si>
  <si>
    <t>BBSAG Bull.45</t>
  </si>
  <si>
    <t>BBSAG Bull.51</t>
  </si>
  <si>
    <t>BBSAG Bull.53</t>
  </si>
  <si>
    <t>BBSAG Bull.58</t>
  </si>
  <si>
    <t>BBSAG Bull.61</t>
  </si>
  <si>
    <t>Elias D</t>
  </si>
  <si>
    <t>BBSAG Bull.62</t>
  </si>
  <si>
    <t>BBSAG Bull.64</t>
  </si>
  <si>
    <t>BBSAG Bull.74</t>
  </si>
  <si>
    <t>Diethelm R</t>
  </si>
  <si>
    <t>BBSAG Bull.116</t>
  </si>
  <si>
    <t>BBSAG</t>
  </si>
  <si>
    <t>IBVS 5263</t>
  </si>
  <si>
    <t>I</t>
  </si>
  <si>
    <t>IBVS 4888</t>
  </si>
  <si>
    <t>IBVS 5296</t>
  </si>
  <si>
    <t>IBVS 5643</t>
  </si>
  <si>
    <t>EA/SD</t>
  </si>
  <si>
    <t># of data points:</t>
  </si>
  <si>
    <t>QU Per / GSC 2851-0971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</si>
  <si>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</si>
  <si>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</si>
  <si>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</si>
  <si>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</si>
  <si>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</si>
  <si>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</si>
  <si>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</si>
  <si>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Add cycle</t>
  </si>
  <si>
    <t>Old Cycle</t>
  </si>
  <si>
    <t>IBVS 5918</t>
  </si>
  <si>
    <t>II</t>
  </si>
  <si>
    <t>IBVS 6011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</si>
  <si>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</si>
  <si>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</si>
  <si>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</si>
  <si>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</si>
  <si>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</si>
  <si>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</si>
  <si>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</si>
  <si>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</si>
  <si>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</si>
  <si>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</si>
  <si>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</si>
  <si>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</si>
  <si>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</si>
  <si>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2417564.20 </t>
  </si>
  <si>
    <t> 19.12.1906 16:48 </t>
  </si>
  <si>
    <t> 0.04 </t>
  </si>
  <si>
    <t>P </t>
  </si>
  <si>
    <t> W.Zessewitsch </t>
  </si>
  <si>
    <t> AC 1152 </t>
  </si>
  <si>
    <t>2427398.44 </t>
  </si>
  <si>
    <t> 21.11.1933 22:33 </t>
  </si>
  <si>
    <t>2429165.45 </t>
  </si>
  <si>
    <t> 23.09.1938 22:48 </t>
  </si>
  <si>
    <t> -0.04 </t>
  </si>
  <si>
    <t>2430781.285 </t>
  </si>
  <si>
    <t> 25.02.1943 18:50 </t>
  </si>
  <si>
    <t> -0.030 </t>
  </si>
  <si>
    <t> H.Busch et al. </t>
  </si>
  <si>
    <t> VSS 9.133 </t>
  </si>
  <si>
    <t>2431021.416 </t>
  </si>
  <si>
    <t> 23.10.1943 21:59 </t>
  </si>
  <si>
    <t> 0.007 </t>
  </si>
  <si>
    <t>2431028.580 </t>
  </si>
  <si>
    <t> 31.10.1943 01:55 </t>
  </si>
  <si>
    <t> -0.032 </t>
  </si>
  <si>
    <t>2434332.36 </t>
  </si>
  <si>
    <t> 15.11.1952 20:38 </t>
  </si>
  <si>
    <t> 0.06 </t>
  </si>
  <si>
    <t>2435076.51 </t>
  </si>
  <si>
    <t> 30.11.1954 00:14 </t>
  </si>
  <si>
    <t> -0.08 </t>
  </si>
  <si>
    <t>2436082.55 </t>
  </si>
  <si>
    <t> 01.09.1957 01:12 </t>
  </si>
  <si>
    <t> -0.03 </t>
  </si>
  <si>
    <t>2436483.46 </t>
  </si>
  <si>
    <t> 06.10.1958 23:02 </t>
  </si>
  <si>
    <t>2436865.383 </t>
  </si>
  <si>
    <t> 23.10.1959 21:11 </t>
  </si>
  <si>
    <t> 0.096 </t>
  </si>
  <si>
    <t> Pinto &amp; Romano </t>
  </si>
  <si>
    <t> MSAI 47.241 </t>
  </si>
  <si>
    <t>2436877.387 </t>
  </si>
  <si>
    <t> 04.11.1959 21:17 </t>
  </si>
  <si>
    <t> 0.095 </t>
  </si>
  <si>
    <t>2437561.54 </t>
  </si>
  <si>
    <t> 19.09.1961 00:57 </t>
  </si>
  <si>
    <t> -0.02 </t>
  </si>
  <si>
    <t>2437561.589 </t>
  </si>
  <si>
    <t> 19.09.1961 02:08 </t>
  </si>
  <si>
    <t> 0.030 </t>
  </si>
  <si>
    <t>2437974.47 </t>
  </si>
  <si>
    <t> 05.11.1962 23:16 </t>
  </si>
  <si>
    <t> -0.05 </t>
  </si>
  <si>
    <t>2438327.476 </t>
  </si>
  <si>
    <t> 24.10.1963 23:25 </t>
  </si>
  <si>
    <t> 0.019 </t>
  </si>
  <si>
    <t>2438327.484 </t>
  </si>
  <si>
    <t> 24.10.1963 23:36 </t>
  </si>
  <si>
    <t> 0.027 </t>
  </si>
  <si>
    <t>2438411.492 </t>
  </si>
  <si>
    <t> 16.01.1964 23:48 </t>
  </si>
  <si>
    <t> 0.002 </t>
  </si>
  <si>
    <t>2438464.319 </t>
  </si>
  <si>
    <t> 09.03.1964 19:39 </t>
  </si>
  <si>
    <t> 0.008 </t>
  </si>
  <si>
    <t>2438651.56 </t>
  </si>
  <si>
    <t> 13.09.1964 01:26 </t>
  </si>
  <si>
    <t>2438651.563 </t>
  </si>
  <si>
    <t> 13.09.1964 01:30 </t>
  </si>
  <si>
    <t> -0.021 </t>
  </si>
  <si>
    <t> C.Hoffmeister </t>
  </si>
  <si>
    <t> AN 289.289 </t>
  </si>
  <si>
    <t>2438709.336 </t>
  </si>
  <si>
    <t> 09.11.1964 20:03 </t>
  </si>
  <si>
    <t> 0.130 </t>
  </si>
  <si>
    <t>2438781.308 </t>
  </si>
  <si>
    <t> 20.01.1965 19:23 </t>
  </si>
  <si>
    <t> 0.074 </t>
  </si>
  <si>
    <t>2439028.51 </t>
  </si>
  <si>
    <t> 25.09.1965 00:14 </t>
  </si>
  <si>
    <t>2439028.513 </t>
  </si>
  <si>
    <t> 25.09.1965 00:18 </t>
  </si>
  <si>
    <t> -0.017 </t>
  </si>
  <si>
    <t>2439028.564 </t>
  </si>
  <si>
    <t> 25.09.1965 01:32 </t>
  </si>
  <si>
    <t> 0.034 </t>
  </si>
  <si>
    <t>2439441.483 </t>
  </si>
  <si>
    <t> 11.11.1966 23:35 </t>
  </si>
  <si>
    <t> -0.008 </t>
  </si>
  <si>
    <t>2439777.54 </t>
  </si>
  <si>
    <t> 14.10.1967 00:57 </t>
  </si>
  <si>
    <t>2440483.502 </t>
  </si>
  <si>
    <t> 19.09.1969 00:02 </t>
  </si>
  <si>
    <t> 0.004 </t>
  </si>
  <si>
    <t>2440507.513 </t>
  </si>
  <si>
    <t> 13.10.1969 00:18 </t>
  </si>
  <si>
    <t> 0.006 </t>
  </si>
  <si>
    <t>2440514.624 </t>
  </si>
  <si>
    <t> 20.10.1969 02:58 </t>
  </si>
  <si>
    <t> -0.086 </t>
  </si>
  <si>
    <t>2440531.501 </t>
  </si>
  <si>
    <t> 06.11.1969 00:01 </t>
  </si>
  <si>
    <t> -0.015 </t>
  </si>
  <si>
    <t>2440567.471 </t>
  </si>
  <si>
    <t> 11.12.1969 23:18 </t>
  </si>
  <si>
    <t> -0.059 </t>
  </si>
  <si>
    <t>2440884.373 </t>
  </si>
  <si>
    <t> 24.10.1970 20:57 </t>
  </si>
  <si>
    <t> -0.081 </t>
  </si>
  <si>
    <t>2441220.54 </t>
  </si>
  <si>
    <t> 26.09.1971 00:57 </t>
  </si>
  <si>
    <t>2441242.363 </t>
  </si>
  <si>
    <t> 17.10.1971 20:42 </t>
  </si>
  <si>
    <t> 0.170 </t>
  </si>
  <si>
    <t>2441244.557 </t>
  </si>
  <si>
    <t> 20.10.1971 01:22 </t>
  </si>
  <si>
    <t> -0.037 </t>
  </si>
  <si>
    <t>2441249.378 </t>
  </si>
  <si>
    <t> 24.10.1971 21:04 </t>
  </si>
  <si>
    <t> -0.018 </t>
  </si>
  <si>
    <t>2441333.442 </t>
  </si>
  <si>
    <t> 16.01.1972 22:36 </t>
  </si>
  <si>
    <t> 0.013 </t>
  </si>
  <si>
    <t>2441350.259 </t>
  </si>
  <si>
    <t> 02.02.1972 18:12 </t>
  </si>
  <si>
    <t> 0.023 </t>
  </si>
  <si>
    <t>2442310.55 </t>
  </si>
  <si>
    <t> 20.09.1974 01:12 </t>
  </si>
  <si>
    <t> -0.06 </t>
  </si>
  <si>
    <t>2442339.46 </t>
  </si>
  <si>
    <t> 18.10.1974 23:02 </t>
  </si>
  <si>
    <t>2442363.43 </t>
  </si>
  <si>
    <t> 11.11.1974 22:19 </t>
  </si>
  <si>
    <t> -0.00 </t>
  </si>
  <si>
    <t>2442699.55 </t>
  </si>
  <si>
    <t> 14.10.1975 01:12 </t>
  </si>
  <si>
    <t> -0.01 </t>
  </si>
  <si>
    <t>2443429.48 </t>
  </si>
  <si>
    <t> 12.10.1977 23:31 </t>
  </si>
  <si>
    <t> 0.03 </t>
  </si>
  <si>
    <t>2443518.30 </t>
  </si>
  <si>
    <t> 09.01.1978 19:12 </t>
  </si>
  <si>
    <t> 0.02 </t>
  </si>
  <si>
    <t>2443777.587 </t>
  </si>
  <si>
    <t> 26.09.1978 02:05 </t>
  </si>
  <si>
    <t> 0.005 </t>
  </si>
  <si>
    <t>V </t>
  </si>
  <si>
    <t> K.Locher </t>
  </si>
  <si>
    <t> BBS 39 </t>
  </si>
  <si>
    <t>2443782.403 </t>
  </si>
  <si>
    <t> 30.09.1978 21:40 </t>
  </si>
  <si>
    <t>2443890.445 </t>
  </si>
  <si>
    <t> 16.01.1979 22:40 </t>
  </si>
  <si>
    <t> BBS 41 </t>
  </si>
  <si>
    <t>2443955.294 </t>
  </si>
  <si>
    <t> 22.03.1979 19:03 </t>
  </si>
  <si>
    <t> 0.043 </t>
  </si>
  <si>
    <t> BBS 42 </t>
  </si>
  <si>
    <t>2444082.522 </t>
  </si>
  <si>
    <t> 28.07.1979 00:31 </t>
  </si>
  <si>
    <t> 0.021 </t>
  </si>
  <si>
    <t> BBS 44 </t>
  </si>
  <si>
    <t>2444118.520 </t>
  </si>
  <si>
    <t> 02.09.1979 00:28 </t>
  </si>
  <si>
    <t> BBS 45 </t>
  </si>
  <si>
    <t>2444555.489 </t>
  </si>
  <si>
    <t> 11.11.1980 23:44 </t>
  </si>
  <si>
    <t> BBS 51 </t>
  </si>
  <si>
    <t>2444644.332 </t>
  </si>
  <si>
    <t> 08.02.1981 19:58 </t>
  </si>
  <si>
    <t> 0.012 </t>
  </si>
  <si>
    <t> BBS 53 </t>
  </si>
  <si>
    <t>2444973.262 </t>
  </si>
  <si>
    <t> 03.01.1982 18:17 </t>
  </si>
  <si>
    <t> 0.014 </t>
  </si>
  <si>
    <t> BBS 58 </t>
  </si>
  <si>
    <t>2445172.527 </t>
  </si>
  <si>
    <t> 22.07.1982 00:38 </t>
  </si>
  <si>
    <t> 0.001 </t>
  </si>
  <si>
    <t> BBS 61 </t>
  </si>
  <si>
    <t>2445196.506 </t>
  </si>
  <si>
    <t> 15.08.1982 00:08 </t>
  </si>
  <si>
    <t> -0.029 </t>
  </si>
  <si>
    <t> D.Elias </t>
  </si>
  <si>
    <t> BBS 62 </t>
  </si>
  <si>
    <t>2445196.519 </t>
  </si>
  <si>
    <t> 15.08.1982 00:27 </t>
  </si>
  <si>
    <t> -0.016 </t>
  </si>
  <si>
    <t>2445232.550 </t>
  </si>
  <si>
    <t> 20.09.1982 01:12 </t>
  </si>
  <si>
    <t>2445285.348 </t>
  </si>
  <si>
    <t> 11.11.1982 20:21 </t>
  </si>
  <si>
    <t> -0.022 </t>
  </si>
  <si>
    <t> BBS 64 </t>
  </si>
  <si>
    <t>2445333.372 </t>
  </si>
  <si>
    <t> 29.12.1982 20:55 </t>
  </si>
  <si>
    <t>2445345.406 </t>
  </si>
  <si>
    <t> 10.01.1983 21:44 </t>
  </si>
  <si>
    <t>2445998.422 </t>
  </si>
  <si>
    <t> 24.10.1984 22:07 </t>
  </si>
  <si>
    <t> -0.026 </t>
  </si>
  <si>
    <t> BBS 74 </t>
  </si>
  <si>
    <t>2447542.251 </t>
  </si>
  <si>
    <t> 15.01.1989 18:01 </t>
  </si>
  <si>
    <t> J.Borovicka </t>
  </si>
  <si>
    <t> BRNO 30 </t>
  </si>
  <si>
    <t>2450812.321 </t>
  </si>
  <si>
    <t> 29.12.1997 19:42 </t>
  </si>
  <si>
    <t>E </t>
  </si>
  <si>
    <t>?</t>
  </si>
  <si>
    <t> R.Diethelm </t>
  </si>
  <si>
    <t> BBS 116 </t>
  </si>
  <si>
    <t>2451129.2428 </t>
  </si>
  <si>
    <t> 11.11.1998 17:49 </t>
  </si>
  <si>
    <t> -0.0051 </t>
  </si>
  <si>
    <t> J.Safar </t>
  </si>
  <si>
    <t>IBVS 4888 </t>
  </si>
  <si>
    <t>2451484.5821 </t>
  </si>
  <si>
    <t> 02.11.1999 01:58 </t>
  </si>
  <si>
    <t> -0.0043 </t>
  </si>
  <si>
    <t>IBVS 5263 </t>
  </si>
  <si>
    <t>2451585.4222 </t>
  </si>
  <si>
    <t> 10.02.2000 22:07 </t>
  </si>
  <si>
    <t> -0.0036 </t>
  </si>
  <si>
    <t> BRNO 32 </t>
  </si>
  <si>
    <t>2451878.33927 </t>
  </si>
  <si>
    <t> 29.11.2000 20:08 </t>
  </si>
  <si>
    <t> -0.00067 </t>
  </si>
  <si>
    <t>C </t>
  </si>
  <si>
    <t>o</t>
  </si>
  <si>
    <t> J.Šafár </t>
  </si>
  <si>
    <t>OEJV 0074 </t>
  </si>
  <si>
    <t>2451926.3574 </t>
  </si>
  <si>
    <t> 16.01.2001 20:34 </t>
  </si>
  <si>
    <t> -0.0013 </t>
  </si>
  <si>
    <t> K.&amp; M.Rätz </t>
  </si>
  <si>
    <t>BAVM 152 </t>
  </si>
  <si>
    <t>2452903.5370 </t>
  </si>
  <si>
    <t> 21.09.2003 00:53 </t>
  </si>
  <si>
    <t> -0.0026 </t>
  </si>
  <si>
    <t>-I</t>
  </si>
  <si>
    <t>BAVM 172 </t>
  </si>
  <si>
    <t>2453256.478 </t>
  </si>
  <si>
    <t> 07.09.2004 23:28 </t>
  </si>
  <si>
    <t>7153</t>
  </si>
  <si>
    <t>OEJV 0003 </t>
  </si>
  <si>
    <t>2454831.4892 </t>
  </si>
  <si>
    <t> 30.12.2008 23:44 </t>
  </si>
  <si>
    <t>7809</t>
  </si>
  <si>
    <t> -0.0020 </t>
  </si>
  <si>
    <t> F.Agerer </t>
  </si>
  <si>
    <t>BAVM 209 </t>
  </si>
  <si>
    <t>2454842.3006 </t>
  </si>
  <si>
    <t> 10.01.2009 19:12 </t>
  </si>
  <si>
    <t>7813.5</t>
  </si>
  <si>
    <t> 0.0052 </t>
  </si>
  <si>
    <t>2455155.6128 </t>
  </si>
  <si>
    <t> 20.11.2009 02:42 </t>
  </si>
  <si>
    <t>7944</t>
  </si>
  <si>
    <t> -0.0048 </t>
  </si>
  <si>
    <t>BAVM 212 </t>
  </si>
  <si>
    <t>2455851.8760 </t>
  </si>
  <si>
    <t> 17.10.2011 09:01 </t>
  </si>
  <si>
    <t>8234</t>
  </si>
  <si>
    <t> -0.0130 </t>
  </si>
  <si>
    <t>IBVS 6011 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</si>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</sst>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>
      <alignment vertical="top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Per - O-C Diagr.</a:t>
            </a:r>
          </a:p>
        </c:rich>
      </c:tx>
      <c:layout>
        <c:manualLayout>
          <c:xMode val="edge"/>
          <c:yMode val="edge"/>
          <c:x val="0.387388017939199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769252958613219"/>
          <c:w val="0.8168180145252887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E1-435A-B542-96F0DD6958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9">
                    <c:v>0</c:v>
                  </c:pt>
                  <c:pt idx="65">
                    <c:v>3.0000000000000001E-3</c:v>
                  </c:pt>
                  <c:pt idx="66">
                    <c:v>2.3999999999999998E-3</c:v>
                  </c:pt>
                  <c:pt idx="67">
                    <c:v>4.0000000000000001E-3</c:v>
                  </c:pt>
                  <c:pt idx="69">
                    <c:v>3.0000000000000001E-3</c:v>
                  </c:pt>
                  <c:pt idx="70">
                    <c:v>1.5E-3</c:v>
                  </c:pt>
                  <c:pt idx="71">
                    <c:v>8.0000000000000004E-4</c:v>
                  </c:pt>
                  <c:pt idx="72">
                    <c:v>5.0000000000000001E-3</c:v>
                  </c:pt>
                  <c:pt idx="73">
                    <c:v>2.0000000000000001E-4</c:v>
                  </c:pt>
                  <c:pt idx="74">
                    <c:v>4.0000000000000001E-3</c:v>
                  </c:pt>
                  <c:pt idx="76">
                    <c:v>4.0000000000000002E-4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9">
                    <c:v>0</c:v>
                  </c:pt>
                  <c:pt idx="65">
                    <c:v>3.0000000000000001E-3</c:v>
                  </c:pt>
                  <c:pt idx="66">
                    <c:v>2.3999999999999998E-3</c:v>
                  </c:pt>
                  <c:pt idx="67">
                    <c:v>4.0000000000000001E-3</c:v>
                  </c:pt>
                  <c:pt idx="69">
                    <c:v>3.0000000000000001E-3</c:v>
                  </c:pt>
                  <c:pt idx="70">
                    <c:v>1.5E-3</c:v>
                  </c:pt>
                  <c:pt idx="71">
                    <c:v>8.0000000000000004E-4</c:v>
                  </c:pt>
                  <c:pt idx="72">
                    <c:v>5.0000000000000001E-3</c:v>
                  </c:pt>
                  <c:pt idx="73">
                    <c:v>2.0000000000000001E-4</c:v>
                  </c:pt>
                  <c:pt idx="74">
                    <c:v>4.0000000000000001E-3</c:v>
                  </c:pt>
                  <c:pt idx="7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E1-435A-B542-96F0DD6958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9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65">
                  <c:v>-3.3600000024307519E-3</c:v>
                </c:pt>
                <c:pt idx="66">
                  <c:v>-5.1120000061928295E-3</c:v>
                </c:pt>
                <c:pt idx="67">
                  <c:v>-4.3399999995017424E-3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E1-435A-B542-96F0DD6958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69">
                  <c:v>-6.7400000989437103E-4</c:v>
                </c:pt>
                <c:pt idx="70">
                  <c:v>-1.2639999986276962E-3</c:v>
                </c:pt>
                <c:pt idx="71">
                  <c:v>-2.616000005218666E-3</c:v>
                </c:pt>
                <c:pt idx="72">
                  <c:v>7.9199999890988693E-4</c:v>
                </c:pt>
                <c:pt idx="73">
                  <c:v>-2.0240000012563542E-3</c:v>
                </c:pt>
                <c:pt idx="74">
                  <c:v>5.1640000019688159E-3</c:v>
                </c:pt>
                <c:pt idx="76">
                  <c:v>-1.3024000007135328E-2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E1-435A-B542-96F0DD6958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  <c:pt idx="0">
                  <c:v>3.7368000001151813E-2</c:v>
                </c:pt>
                <c:pt idx="1">
                  <c:v>4.3511999996553641E-2</c:v>
                </c:pt>
                <c:pt idx="2">
                  <c:v>-3.5383999998884974E-2</c:v>
                </c:pt>
                <c:pt idx="3">
                  <c:v>-3.0312000002595596E-2</c:v>
                </c:pt>
                <c:pt idx="4">
                  <c:v>7.0879999984754249E-3</c:v>
                </c:pt>
                <c:pt idx="5">
                  <c:v>-3.1719999999040738E-2</c:v>
                </c:pt>
                <c:pt idx="6">
                  <c:v>6.0343999997712672E-2</c:v>
                </c:pt>
                <c:pt idx="7">
                  <c:v>-7.9815999997663312E-2</c:v>
                </c:pt>
                <c:pt idx="8">
                  <c:v>-3.19999999992433E-2</c:v>
                </c:pt>
                <c:pt idx="10">
                  <c:v>-7.8312000005098525E-2</c:v>
                </c:pt>
                <c:pt idx="11">
                  <c:v>9.5864000002620742E-2</c:v>
                </c:pt>
                <c:pt idx="12">
                  <c:v>9.5183999997971114E-2</c:v>
                </c:pt>
                <c:pt idx="13">
                  <c:v>-1.8576000002212822E-2</c:v>
                </c:pt>
                <c:pt idx="14">
                  <c:v>3.0423999996855855E-2</c:v>
                </c:pt>
                <c:pt idx="15">
                  <c:v>-4.9568000002182089E-2</c:v>
                </c:pt>
                <c:pt idx="16">
                  <c:v>1.8839999996998813E-2</c:v>
                </c:pt>
                <c:pt idx="17">
                  <c:v>2.683999999135267E-2</c:v>
                </c:pt>
                <c:pt idx="18">
                  <c:v>2.0799999983864836E-3</c:v>
                </c:pt>
                <c:pt idx="19">
                  <c:v>8.4879999994882382E-3</c:v>
                </c:pt>
                <c:pt idx="20">
                  <c:v>-2.3520000002463348E-2</c:v>
                </c:pt>
                <c:pt idx="21">
                  <c:v>-2.0519999998214189E-2</c:v>
                </c:pt>
                <c:pt idx="22">
                  <c:v>0.13001600000279723</c:v>
                </c:pt>
                <c:pt idx="23">
                  <c:v>7.3935999993409496E-2</c:v>
                </c:pt>
                <c:pt idx="24">
                  <c:v>-2.0471999996516388E-2</c:v>
                </c:pt>
                <c:pt idx="25">
                  <c:v>-1.7471999999543186E-2</c:v>
                </c:pt>
                <c:pt idx="26">
                  <c:v>3.3527999999932945E-2</c:v>
                </c:pt>
                <c:pt idx="27">
                  <c:v>-8.4640000059152953E-3</c:v>
                </c:pt>
                <c:pt idx="28">
                  <c:v>-8.2503999998152722E-2</c:v>
                </c:pt>
                <c:pt idx="29">
                  <c:v>4.3119999972986989E-3</c:v>
                </c:pt>
                <c:pt idx="30">
                  <c:v>5.9519999995245598E-3</c:v>
                </c:pt>
                <c:pt idx="31">
                  <c:v>-8.5855999997875188E-2</c:v>
                </c:pt>
                <c:pt idx="32">
                  <c:v>-1.5408000006573275E-2</c:v>
                </c:pt>
                <c:pt idx="33">
                  <c:v>-5.9448000007250812E-2</c:v>
                </c:pt>
                <c:pt idx="34">
                  <c:v>-8.1000000005587935E-2</c:v>
                </c:pt>
                <c:pt idx="35">
                  <c:v>-4.5040000004519243E-2</c:v>
                </c:pt>
                <c:pt idx="36">
                  <c:v>0.16953599999396829</c:v>
                </c:pt>
                <c:pt idx="37">
                  <c:v>-3.7400000001071021E-2</c:v>
                </c:pt>
                <c:pt idx="38">
                  <c:v>-1.8272000008437317E-2</c:v>
                </c:pt>
                <c:pt idx="39">
                  <c:v>1.2968000002729241E-2</c:v>
                </c:pt>
                <c:pt idx="40">
                  <c:v>2.341599999635946E-2</c:v>
                </c:pt>
                <c:pt idx="41">
                  <c:v>-5.9983999999531079E-2</c:v>
                </c:pt>
                <c:pt idx="42">
                  <c:v>3.8783999996667262E-2</c:v>
                </c:pt>
                <c:pt idx="43">
                  <c:v>-5.759999985457398E-4</c:v>
                </c:pt>
                <c:pt idx="44">
                  <c:v>-1.1616000003414229E-2</c:v>
                </c:pt>
                <c:pt idx="45">
                  <c:v>3.3839999996416736E-2</c:v>
                </c:pt>
                <c:pt idx="46">
                  <c:v>1.9207999997888692E-2</c:v>
                </c:pt>
                <c:pt idx="47">
                  <c:v>5.1199999943492003E-3</c:v>
                </c:pt>
                <c:pt idx="48">
                  <c:v>1.9247999996878207E-2</c:v>
                </c:pt>
                <c:pt idx="49">
                  <c:v>1.9127999999909662E-2</c:v>
                </c:pt>
                <c:pt idx="50">
                  <c:v>4.2856000000028871E-2</c:v>
                </c:pt>
                <c:pt idx="51">
                  <c:v>2.124799999728566E-2</c:v>
                </c:pt>
                <c:pt idx="52">
                  <c:v>5.2079999950365163E-3</c:v>
                </c:pt>
                <c:pt idx="53">
                  <c:v>3.8559999957215041E-3</c:v>
                </c:pt>
                <c:pt idx="54">
                  <c:v>1.2223999998241197E-2</c:v>
                </c:pt>
                <c:pt idx="55">
                  <c:v>1.3992000000143889E-2</c:v>
                </c:pt>
                <c:pt idx="56">
                  <c:v>1.3039999976172112E-3</c:v>
                </c:pt>
                <c:pt idx="57">
                  <c:v>-2.9055999999400228E-2</c:v>
                </c:pt>
                <c:pt idx="58">
                  <c:v>-1.6056000000389758E-2</c:v>
                </c:pt>
                <c:pt idx="59">
                  <c:v>9.0400000044610351E-4</c:v>
                </c:pt>
                <c:pt idx="60">
                  <c:v>-2.1688000007998198E-2</c:v>
                </c:pt>
                <c:pt idx="61">
                  <c:v>-1.6407999995863065E-2</c:v>
                </c:pt>
                <c:pt idx="62">
                  <c:v>1.2911999998323154E-2</c:v>
                </c:pt>
                <c:pt idx="63">
                  <c:v>-2.5680000006104819E-2</c:v>
                </c:pt>
                <c:pt idx="64">
                  <c:v>1.4719999962835573E-3</c:v>
                </c:pt>
                <c:pt idx="68">
                  <c:v>-3.5520000019459985E-3</c:v>
                </c:pt>
                <c:pt idx="75">
                  <c:v>-4.7840000042924657E-3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E1-435A-B542-96F0DD6958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E1-435A-B542-96F0DD6958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plus>
            <c:minus>
              <c:numRef>
                <c:f>Active!$D$21:$D$86</c:f>
                <c:numCache>
                  <c:formatCode>General</c:formatCode>
                  <c:ptCount val="66"/>
                  <c:pt idx="9">
                    <c:v>0</c:v>
                  </c:pt>
                  <c:pt idx="6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E1-435A-B542-96F0DD6958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-7713</c:v>
                </c:pt>
                <c:pt idx="1">
                  <c:v>-3617</c:v>
                </c:pt>
                <c:pt idx="2">
                  <c:v>-2881</c:v>
                </c:pt>
                <c:pt idx="3">
                  <c:v>-2208</c:v>
                </c:pt>
                <c:pt idx="4">
                  <c:v>-2108</c:v>
                </c:pt>
                <c:pt idx="5">
                  <c:v>-2105</c:v>
                </c:pt>
                <c:pt idx="6">
                  <c:v>-729</c:v>
                </c:pt>
                <c:pt idx="7">
                  <c:v>-419</c:v>
                </c:pt>
                <c:pt idx="8">
                  <c:v>0</c:v>
                </c:pt>
                <c:pt idx="9">
                  <c:v>0</c:v>
                </c:pt>
                <c:pt idx="10">
                  <c:v>167</c:v>
                </c:pt>
                <c:pt idx="11">
                  <c:v>326</c:v>
                </c:pt>
                <c:pt idx="12">
                  <c:v>331</c:v>
                </c:pt>
                <c:pt idx="13">
                  <c:v>616</c:v>
                </c:pt>
                <c:pt idx="14">
                  <c:v>616</c:v>
                </c:pt>
                <c:pt idx="15">
                  <c:v>788</c:v>
                </c:pt>
                <c:pt idx="16">
                  <c:v>935</c:v>
                </c:pt>
                <c:pt idx="17">
                  <c:v>935</c:v>
                </c:pt>
                <c:pt idx="18">
                  <c:v>970</c:v>
                </c:pt>
                <c:pt idx="19">
                  <c:v>992</c:v>
                </c:pt>
                <c:pt idx="20">
                  <c:v>1070</c:v>
                </c:pt>
                <c:pt idx="21">
                  <c:v>1070</c:v>
                </c:pt>
                <c:pt idx="22">
                  <c:v>1094</c:v>
                </c:pt>
                <c:pt idx="23">
                  <c:v>1124</c:v>
                </c:pt>
                <c:pt idx="24">
                  <c:v>1227</c:v>
                </c:pt>
                <c:pt idx="25">
                  <c:v>1227</c:v>
                </c:pt>
                <c:pt idx="26">
                  <c:v>1227</c:v>
                </c:pt>
                <c:pt idx="27">
                  <c:v>1399</c:v>
                </c:pt>
                <c:pt idx="28">
                  <c:v>1539</c:v>
                </c:pt>
                <c:pt idx="29">
                  <c:v>1833</c:v>
                </c:pt>
                <c:pt idx="30">
                  <c:v>1843</c:v>
                </c:pt>
                <c:pt idx="31">
                  <c:v>1846</c:v>
                </c:pt>
                <c:pt idx="32">
                  <c:v>1853</c:v>
                </c:pt>
                <c:pt idx="33">
                  <c:v>1868</c:v>
                </c:pt>
                <c:pt idx="34">
                  <c:v>2000</c:v>
                </c:pt>
                <c:pt idx="35">
                  <c:v>2140</c:v>
                </c:pt>
                <c:pt idx="36">
                  <c:v>2149</c:v>
                </c:pt>
                <c:pt idx="37">
                  <c:v>2150</c:v>
                </c:pt>
                <c:pt idx="38">
                  <c:v>2152</c:v>
                </c:pt>
                <c:pt idx="39">
                  <c:v>2187</c:v>
                </c:pt>
                <c:pt idx="40">
                  <c:v>2194</c:v>
                </c:pt>
                <c:pt idx="41">
                  <c:v>2594</c:v>
                </c:pt>
                <c:pt idx="42">
                  <c:v>2606</c:v>
                </c:pt>
                <c:pt idx="43">
                  <c:v>2616</c:v>
                </c:pt>
                <c:pt idx="44">
                  <c:v>2756</c:v>
                </c:pt>
                <c:pt idx="45">
                  <c:v>3060</c:v>
                </c:pt>
                <c:pt idx="46">
                  <c:v>3097</c:v>
                </c:pt>
                <c:pt idx="47">
                  <c:v>3205</c:v>
                </c:pt>
                <c:pt idx="48">
                  <c:v>3207</c:v>
                </c:pt>
                <c:pt idx="49">
                  <c:v>3252</c:v>
                </c:pt>
                <c:pt idx="50">
                  <c:v>3279</c:v>
                </c:pt>
                <c:pt idx="51">
                  <c:v>3332</c:v>
                </c:pt>
                <c:pt idx="52">
                  <c:v>3347</c:v>
                </c:pt>
                <c:pt idx="53">
                  <c:v>3529</c:v>
                </c:pt>
                <c:pt idx="54">
                  <c:v>3566</c:v>
                </c:pt>
                <c:pt idx="55">
                  <c:v>3703</c:v>
                </c:pt>
                <c:pt idx="56">
                  <c:v>3786</c:v>
                </c:pt>
                <c:pt idx="57">
                  <c:v>3796</c:v>
                </c:pt>
                <c:pt idx="58">
                  <c:v>3796</c:v>
                </c:pt>
                <c:pt idx="59">
                  <c:v>3811</c:v>
                </c:pt>
                <c:pt idx="60">
                  <c:v>3833</c:v>
                </c:pt>
                <c:pt idx="61">
                  <c:v>3853</c:v>
                </c:pt>
                <c:pt idx="62">
                  <c:v>3858</c:v>
                </c:pt>
                <c:pt idx="63">
                  <c:v>4130</c:v>
                </c:pt>
                <c:pt idx="64">
                  <c:v>4773</c:v>
                </c:pt>
                <c:pt idx="65">
                  <c:v>6135</c:v>
                </c:pt>
                <c:pt idx="66">
                  <c:v>6267</c:v>
                </c:pt>
                <c:pt idx="67">
                  <c:v>6415</c:v>
                </c:pt>
                <c:pt idx="68">
                  <c:v>6457</c:v>
                </c:pt>
                <c:pt idx="69">
                  <c:v>6579</c:v>
                </c:pt>
                <c:pt idx="70">
                  <c:v>6599</c:v>
                </c:pt>
                <c:pt idx="71">
                  <c:v>7006</c:v>
                </c:pt>
                <c:pt idx="72">
                  <c:v>7153</c:v>
                </c:pt>
                <c:pt idx="73">
                  <c:v>7809</c:v>
                </c:pt>
                <c:pt idx="74">
                  <c:v>7813.5</c:v>
                </c:pt>
                <c:pt idx="75">
                  <c:v>7944</c:v>
                </c:pt>
                <c:pt idx="76">
                  <c:v>8234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9.131183569243197E-3</c:v>
                </c:pt>
                <c:pt idx="1">
                  <c:v>5.6757190721032236E-3</c:v>
                </c:pt>
                <c:pt idx="2">
                  <c:v>5.0548152952733846E-3</c:v>
                </c:pt>
                <c:pt idx="3">
                  <c:v>4.4870595319493611E-3</c:v>
                </c:pt>
                <c:pt idx="4">
                  <c:v>4.4026976057496541E-3</c:v>
                </c:pt>
                <c:pt idx="5">
                  <c:v>4.4001667479636637E-3</c:v>
                </c:pt>
                <c:pt idx="6">
                  <c:v>3.2393466434557034E-3</c:v>
                </c:pt>
                <c:pt idx="7">
                  <c:v>2.9778246722366136E-3</c:v>
                </c:pt>
                <c:pt idx="8">
                  <c:v>2.6243482014598439E-3</c:v>
                </c:pt>
                <c:pt idx="9">
                  <c:v>2.6243482014598439E-3</c:v>
                </c:pt>
                <c:pt idx="10">
                  <c:v>2.4834637847063342E-3</c:v>
                </c:pt>
                <c:pt idx="11">
                  <c:v>2.3493283220488012E-3</c:v>
                </c:pt>
                <c:pt idx="12">
                  <c:v>2.3451102257388157E-3</c:v>
                </c:pt>
                <c:pt idx="13">
                  <c:v>2.1046787360696527E-3</c:v>
                </c:pt>
                <c:pt idx="14">
                  <c:v>2.1046787360696527E-3</c:v>
                </c:pt>
                <c:pt idx="15">
                  <c:v>1.9595762230061576E-3</c:v>
                </c:pt>
                <c:pt idx="16">
                  <c:v>1.8355641914925892E-3</c:v>
                </c:pt>
                <c:pt idx="17">
                  <c:v>1.8355641914925892E-3</c:v>
                </c:pt>
                <c:pt idx="18">
                  <c:v>1.806037517322692E-3</c:v>
                </c:pt>
                <c:pt idx="19">
                  <c:v>1.7874778935587565E-3</c:v>
                </c:pt>
                <c:pt idx="20">
                  <c:v>1.7216755911229856E-3</c:v>
                </c:pt>
                <c:pt idx="21">
                  <c:v>1.7216755911229856E-3</c:v>
                </c:pt>
                <c:pt idx="22">
                  <c:v>1.7014287288350562E-3</c:v>
                </c:pt>
                <c:pt idx="23">
                  <c:v>1.6761201509751442E-3</c:v>
                </c:pt>
                <c:pt idx="24">
                  <c:v>1.5892273669894466E-3</c:v>
                </c:pt>
                <c:pt idx="25">
                  <c:v>1.5892273669894466E-3</c:v>
                </c:pt>
                <c:pt idx="26">
                  <c:v>1.5892273669894466E-3</c:v>
                </c:pt>
                <c:pt idx="27">
                  <c:v>1.4441248539259516E-3</c:v>
                </c:pt>
                <c:pt idx="28">
                  <c:v>1.3260181572463626E-3</c:v>
                </c:pt>
                <c:pt idx="29">
                  <c:v>1.0779940942192258E-3</c:v>
                </c:pt>
                <c:pt idx="30">
                  <c:v>1.0695579015992554E-3</c:v>
                </c:pt>
                <c:pt idx="31">
                  <c:v>1.0670270438132641E-3</c:v>
                </c:pt>
                <c:pt idx="32">
                  <c:v>1.0611217089792847E-3</c:v>
                </c:pt>
                <c:pt idx="33">
                  <c:v>1.0484674200493286E-3</c:v>
                </c:pt>
                <c:pt idx="34">
                  <c:v>9.3710967746571633E-4</c:v>
                </c:pt>
                <c:pt idx="35">
                  <c:v>8.1900298078612732E-4</c:v>
                </c:pt>
                <c:pt idx="36">
                  <c:v>8.1141040742815375E-4</c:v>
                </c:pt>
                <c:pt idx="37">
                  <c:v>8.1056678816615667E-4</c:v>
                </c:pt>
                <c:pt idx="38">
                  <c:v>8.0887954964216249E-4</c:v>
                </c:pt>
                <c:pt idx="39">
                  <c:v>7.793528754722653E-4</c:v>
                </c:pt>
                <c:pt idx="40">
                  <c:v>7.734475406382859E-4</c:v>
                </c:pt>
                <c:pt idx="41">
                  <c:v>4.3599983583946043E-4</c:v>
                </c:pt>
                <c:pt idx="42">
                  <c:v>4.2587640469549581E-4</c:v>
                </c:pt>
                <c:pt idx="43">
                  <c:v>4.1744021207552493E-4</c:v>
                </c:pt>
                <c:pt idx="44">
                  <c:v>2.9933351539593615E-4</c:v>
                </c:pt>
                <c:pt idx="45">
                  <c:v>4.2873259748828479E-5</c:v>
                </c:pt>
                <c:pt idx="46">
                  <c:v>1.1659347054937107E-5</c:v>
                </c:pt>
                <c:pt idx="47">
                  <c:v>-7.9451533240745744E-5</c:v>
                </c:pt>
                <c:pt idx="48">
                  <c:v>-8.1138771764739919E-5</c:v>
                </c:pt>
                <c:pt idx="49">
                  <c:v>-1.1910163855460756E-4</c:v>
                </c:pt>
                <c:pt idx="50">
                  <c:v>-1.4187935862852849E-4</c:v>
                </c:pt>
                <c:pt idx="51">
                  <c:v>-1.8659117951437282E-4</c:v>
                </c:pt>
                <c:pt idx="52">
                  <c:v>-1.992454684443287E-4</c:v>
                </c:pt>
                <c:pt idx="53">
                  <c:v>-3.527841741277943E-4</c:v>
                </c:pt>
                <c:pt idx="54">
                  <c:v>-3.8399808682168567E-4</c:v>
                </c:pt>
                <c:pt idx="55">
                  <c:v>-4.9957392571528319E-4</c:v>
                </c:pt>
                <c:pt idx="56">
                  <c:v>-5.6959432446103972E-4</c:v>
                </c:pt>
                <c:pt idx="57">
                  <c:v>-5.7803051708101016E-4</c:v>
                </c:pt>
                <c:pt idx="58">
                  <c:v>-5.7803051708101016E-4</c:v>
                </c:pt>
                <c:pt idx="59">
                  <c:v>-5.9068480601096648E-4</c:v>
                </c:pt>
                <c:pt idx="60">
                  <c:v>-6.0924442977490154E-4</c:v>
                </c:pt>
                <c:pt idx="61">
                  <c:v>-6.2611681501484285E-4</c:v>
                </c:pt>
                <c:pt idx="62">
                  <c:v>-6.3033491132482829E-4</c:v>
                </c:pt>
                <c:pt idx="63">
                  <c:v>-8.5979935058802959E-4</c:v>
                </c:pt>
                <c:pt idx="64">
                  <c:v>-1.4022465360521413E-3</c:v>
                </c:pt>
                <c:pt idx="65">
                  <c:v>-2.5512559708921424E-3</c:v>
                </c:pt>
                <c:pt idx="66">
                  <c:v>-2.6626137134757553E-3</c:v>
                </c:pt>
                <c:pt idx="67">
                  <c:v>-2.7874693642513208E-3</c:v>
                </c:pt>
                <c:pt idx="68">
                  <c:v>-2.8229013732551968E-3</c:v>
                </c:pt>
                <c:pt idx="69">
                  <c:v>-2.9258229232188388E-3</c:v>
                </c:pt>
                <c:pt idx="70">
                  <c:v>-2.9426953084587806E-3</c:v>
                </c:pt>
                <c:pt idx="71">
                  <c:v>-3.2860483480915848E-3</c:v>
                </c:pt>
                <c:pt idx="72">
                  <c:v>-3.4100603796051532E-3</c:v>
                </c:pt>
                <c:pt idx="73">
                  <c:v>-3.963474615475227E-3</c:v>
                </c:pt>
                <c:pt idx="74">
                  <c:v>-3.9672709021542144E-3</c:v>
                </c:pt>
                <c:pt idx="75">
                  <c:v>-4.0773632158448312E-3</c:v>
                </c:pt>
                <c:pt idx="76">
                  <c:v>-4.3220128018239797E-3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E1-435A-B542-96F0DD695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597576"/>
        <c:axId val="1"/>
      </c:scatterChart>
      <c:valAx>
        <c:axId val="724597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597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18349845908899"/>
          <c:y val="0.92000129214617399"/>
          <c:w val="0.7297308331954001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152400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3D53E4A-5539-3C23-C2AB-99F5C5982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09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var.astro.cz/oejv/issues/oejv0003.pdf" TargetMode="External"/><Relationship Id="rId5" Type="http://schemas.openxmlformats.org/officeDocument/2006/relationships/hyperlink" Target="http://www.bav-astro.de/sfs/BAVM_link.php?BAVMnr=172" TargetMode="External"/><Relationship Id="rId10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59"/>
  <sheetViews>
    <sheetView tabSelected="1" workbookViewId="0">
      <pane xSplit="14" ySplit="22" topLeftCell="O86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s="7" customFormat="1" ht="12.95" customHeight="1" x14ac:dyDescent="0.2">
      <c r="A2" s="7" t="s">
        <v>24</v>
      </c>
      <c r="B2" s="34" t="s">
        <v>50</v>
      </c>
    </row>
    <row r="3" spans="1:6" s="7" customFormat="1" ht="12.95" customHeight="1" x14ac:dyDescent="0.2">
      <c r="B3" s="35"/>
    </row>
    <row r="4" spans="1:6" s="7" customFormat="1" ht="12.95" customHeight="1" thickTop="1" thickBot="1" x14ac:dyDescent="0.25">
      <c r="A4" s="36" t="s">
        <v>0</v>
      </c>
      <c r="B4" s="35"/>
      <c r="C4" s="37">
        <v>36082.582000000002</v>
      </c>
      <c r="D4" s="38">
        <v>2.4009360000000002</v>
      </c>
    </row>
    <row r="5" spans="1:6" s="7" customFormat="1" ht="12.95" customHeight="1" thickTop="1" x14ac:dyDescent="0.2">
      <c r="A5" s="39" t="s">
        <v>53</v>
      </c>
      <c r="C5" s="40">
        <v>-9.5</v>
      </c>
      <c r="D5" s="7" t="s">
        <v>54</v>
      </c>
    </row>
    <row r="6" spans="1:6" s="7" customFormat="1" ht="12.95" customHeight="1" x14ac:dyDescent="0.2">
      <c r="A6" s="36" t="s">
        <v>1</v>
      </c>
      <c r="B6" s="35"/>
    </row>
    <row r="7" spans="1:6" s="7" customFormat="1" ht="12.95" customHeight="1" x14ac:dyDescent="0.2">
      <c r="A7" s="7" t="s">
        <v>2</v>
      </c>
      <c r="B7" s="35"/>
      <c r="C7" s="7">
        <f>+C4</f>
        <v>36082.582000000002</v>
      </c>
    </row>
    <row r="8" spans="1:6" s="7" customFormat="1" ht="12.95" customHeight="1" x14ac:dyDescent="0.2">
      <c r="A8" s="7" t="s">
        <v>3</v>
      </c>
      <c r="B8" s="35"/>
      <c r="C8" s="7">
        <f>+D4</f>
        <v>2.4009360000000002</v>
      </c>
    </row>
    <row r="9" spans="1:6" s="7" customFormat="1" ht="12.95" customHeight="1" x14ac:dyDescent="0.2">
      <c r="A9" s="41" t="s">
        <v>58</v>
      </c>
      <c r="B9" s="42">
        <v>21</v>
      </c>
      <c r="C9" s="43" t="str">
        <f>"F"&amp;B9</f>
        <v>F21</v>
      </c>
      <c r="D9" s="44" t="str">
        <f>"G"&amp;B9</f>
        <v>G21</v>
      </c>
    </row>
    <row r="10" spans="1:6" s="7" customFormat="1" ht="12.95" customHeight="1" thickBot="1" x14ac:dyDescent="0.25">
      <c r="C10" s="45" t="s">
        <v>20</v>
      </c>
      <c r="D10" s="45" t="s">
        <v>21</v>
      </c>
    </row>
    <row r="11" spans="1:6" s="7" customFormat="1" ht="12.95" customHeight="1" x14ac:dyDescent="0.2">
      <c r="A11" s="7" t="s">
        <v>16</v>
      </c>
      <c r="C11" s="44">
        <f ca="1">INTERCEPT(INDIRECT($D$9):G991,INDIRECT($C$9):F991)</f>
        <v>2.6243482014598439E-3</v>
      </c>
      <c r="D11" s="35"/>
    </row>
    <row r="12" spans="1:6" s="7" customFormat="1" ht="12.95" customHeight="1" x14ac:dyDescent="0.2">
      <c r="A12" s="7" t="s">
        <v>17</v>
      </c>
      <c r="C12" s="44">
        <f ca="1">SLOPE(INDIRECT($D$9):G991,INDIRECT($C$9):F991)</f>
        <v>-8.4361926199706382E-7</v>
      </c>
      <c r="D12" s="35"/>
    </row>
    <row r="13" spans="1:6" s="7" customFormat="1" ht="12.95" customHeight="1" x14ac:dyDescent="0.2">
      <c r="A13" s="7" t="s">
        <v>19</v>
      </c>
      <c r="C13" s="35" t="s">
        <v>14</v>
      </c>
    </row>
    <row r="14" spans="1:6" s="7" customFormat="1" ht="12.95" customHeight="1" x14ac:dyDescent="0.2"/>
    <row r="15" spans="1:6" s="7" customFormat="1" ht="12.95" customHeight="1" x14ac:dyDescent="0.2">
      <c r="A15" s="46" t="s">
        <v>18</v>
      </c>
      <c r="C15" s="47">
        <f ca="1">(C7+C11)+(C8+C12)*INT(MAX(F21:F3532))</f>
        <v>55851.884701987205</v>
      </c>
      <c r="E15" s="48" t="s">
        <v>60</v>
      </c>
      <c r="F15" s="40">
        <v>1</v>
      </c>
    </row>
    <row r="16" spans="1:6" s="7" customFormat="1" ht="12.95" customHeight="1" x14ac:dyDescent="0.2">
      <c r="A16" s="36" t="s">
        <v>4</v>
      </c>
      <c r="C16" s="49">
        <f ca="1">+C8+C12</f>
        <v>2.4009351563807382</v>
      </c>
      <c r="E16" s="48" t="s">
        <v>55</v>
      </c>
      <c r="F16" s="50">
        <f ca="1">NOW()+15018.5+$C$5/24</f>
        <v>60372.758968865739</v>
      </c>
    </row>
    <row r="17" spans="1:17" s="7" customFormat="1" ht="12.95" customHeight="1" thickBot="1" x14ac:dyDescent="0.25">
      <c r="A17" s="48" t="s">
        <v>51</v>
      </c>
      <c r="C17" s="7">
        <f>COUNT(C21:C2190)</f>
        <v>77</v>
      </c>
      <c r="E17" s="48" t="s">
        <v>61</v>
      </c>
      <c r="F17" s="50">
        <f ca="1">ROUND(2*(F16-$C$7)/$C$8,0)/2+F15</f>
        <v>10118</v>
      </c>
    </row>
    <row r="18" spans="1:17" s="7" customFormat="1" ht="12.95" customHeight="1" thickTop="1" thickBot="1" x14ac:dyDescent="0.25">
      <c r="A18" s="36" t="s">
        <v>5</v>
      </c>
      <c r="C18" s="37">
        <f ca="1">+C15</f>
        <v>55851.884701987205</v>
      </c>
      <c r="D18" s="38">
        <f ca="1">+C16</f>
        <v>2.4009351563807382</v>
      </c>
      <c r="E18" s="48" t="s">
        <v>56</v>
      </c>
      <c r="F18" s="44">
        <f ca="1">ROUND(2*(F16-$C$15)/$C$16,0)/2+F15</f>
        <v>1884</v>
      </c>
    </row>
    <row r="19" spans="1:17" s="7" customFormat="1" ht="12.95" customHeight="1" thickTop="1" x14ac:dyDescent="0.2">
      <c r="B19" s="35"/>
      <c r="E19" s="48" t="s">
        <v>57</v>
      </c>
      <c r="F19" s="51">
        <f ca="1">+$C$15+$C$16*F18-15018.5-$C$5/24</f>
        <v>45357.142369941852</v>
      </c>
    </row>
    <row r="20" spans="1:17" s="7" customFormat="1" ht="12.95" customHeight="1" thickBot="1" x14ac:dyDescent="0.25">
      <c r="A20" s="45" t="s">
        <v>6</v>
      </c>
      <c r="B20" s="45" t="s">
        <v>7</v>
      </c>
      <c r="C20" s="45" t="s">
        <v>8</v>
      </c>
      <c r="D20" s="45" t="s">
        <v>13</v>
      </c>
      <c r="E20" s="45" t="s">
        <v>9</v>
      </c>
      <c r="F20" s="45" t="s">
        <v>10</v>
      </c>
      <c r="G20" s="45" t="s">
        <v>11</v>
      </c>
      <c r="H20" s="52" t="s">
        <v>12</v>
      </c>
      <c r="I20" s="52" t="s">
        <v>44</v>
      </c>
      <c r="J20" s="52" t="s">
        <v>342</v>
      </c>
      <c r="K20" s="52" t="s">
        <v>68</v>
      </c>
      <c r="L20" s="52" t="s">
        <v>341</v>
      </c>
      <c r="M20" s="52" t="s">
        <v>25</v>
      </c>
      <c r="N20" s="52" t="s">
        <v>26</v>
      </c>
      <c r="O20" s="52" t="s">
        <v>23</v>
      </c>
      <c r="P20" s="53" t="s">
        <v>22</v>
      </c>
      <c r="Q20" s="45" t="s">
        <v>15</v>
      </c>
    </row>
    <row r="21" spans="1:17" s="7" customFormat="1" ht="12.95" customHeight="1" x14ac:dyDescent="0.2">
      <c r="A21" s="54" t="s">
        <v>83</v>
      </c>
      <c r="B21" s="55" t="s">
        <v>46</v>
      </c>
      <c r="C21" s="56">
        <v>17564.2</v>
      </c>
      <c r="D21" s="57"/>
      <c r="E21" s="7">
        <f t="shared" ref="E21:E52" si="0">+(C21-C$7)/C$8</f>
        <v>-7712.9844360699326</v>
      </c>
      <c r="F21" s="7">
        <f t="shared" ref="F21:F52" si="1">ROUND(2*E21,0)/2</f>
        <v>-7713</v>
      </c>
      <c r="G21" s="7">
        <f t="shared" ref="G21:G52" si="2">+C21-(C$7+F21*C$8)</f>
        <v>3.7368000001151813E-2</v>
      </c>
      <c r="L21" s="7">
        <f t="shared" ref="L21:L29" si="3">+G21</f>
        <v>3.7368000001151813E-2</v>
      </c>
      <c r="O21" s="7">
        <f t="shared" ref="O21:O52" ca="1" si="4">+C$11+C$12*$F21</f>
        <v>9.131183569243197E-3</v>
      </c>
      <c r="Q21" s="58">
        <f t="shared" ref="Q21:Q52" si="5">+C21-15018.5</f>
        <v>2545.7000000000007</v>
      </c>
    </row>
    <row r="22" spans="1:17" s="7" customFormat="1" ht="12.95" customHeight="1" x14ac:dyDescent="0.2">
      <c r="A22" s="54" t="s">
        <v>83</v>
      </c>
      <c r="B22" s="55" t="s">
        <v>46</v>
      </c>
      <c r="C22" s="56">
        <v>27398.44</v>
      </c>
      <c r="D22" s="57"/>
      <c r="E22" s="7">
        <f t="shared" si="0"/>
        <v>-3616.9818770679449</v>
      </c>
      <c r="F22" s="7">
        <f t="shared" si="1"/>
        <v>-3617</v>
      </c>
      <c r="G22" s="7">
        <f t="shared" si="2"/>
        <v>4.3511999996553641E-2</v>
      </c>
      <c r="L22" s="7">
        <f t="shared" si="3"/>
        <v>4.3511999996553641E-2</v>
      </c>
      <c r="O22" s="7">
        <f t="shared" ca="1" si="4"/>
        <v>5.6757190721032236E-3</v>
      </c>
      <c r="Q22" s="58">
        <f t="shared" si="5"/>
        <v>12379.939999999999</v>
      </c>
    </row>
    <row r="23" spans="1:17" s="7" customFormat="1" ht="12.95" customHeight="1" x14ac:dyDescent="0.2">
      <c r="A23" s="54" t="s">
        <v>83</v>
      </c>
      <c r="B23" s="55" t="s">
        <v>46</v>
      </c>
      <c r="C23" s="56">
        <v>29165.45</v>
      </c>
      <c r="D23" s="57"/>
      <c r="E23" s="7">
        <f t="shared" si="0"/>
        <v>-2881.0147375856754</v>
      </c>
      <c r="F23" s="7">
        <f t="shared" si="1"/>
        <v>-2881</v>
      </c>
      <c r="G23" s="7">
        <f t="shared" si="2"/>
        <v>-3.5383999998884974E-2</v>
      </c>
      <c r="L23" s="7">
        <f t="shared" si="3"/>
        <v>-3.5383999998884974E-2</v>
      </c>
      <c r="O23" s="7">
        <f t="shared" ca="1" si="4"/>
        <v>5.0548152952733846E-3</v>
      </c>
      <c r="Q23" s="58">
        <f t="shared" si="5"/>
        <v>14146.95</v>
      </c>
    </row>
    <row r="24" spans="1:17" s="7" customFormat="1" ht="12.95" customHeight="1" x14ac:dyDescent="0.2">
      <c r="A24" s="54" t="s">
        <v>93</v>
      </c>
      <c r="B24" s="55" t="s">
        <v>46</v>
      </c>
      <c r="C24" s="56">
        <v>30781.285</v>
      </c>
      <c r="D24" s="57"/>
      <c r="E24" s="7">
        <f t="shared" si="0"/>
        <v>-2208.012625076221</v>
      </c>
      <c r="F24" s="7">
        <f t="shared" si="1"/>
        <v>-2208</v>
      </c>
      <c r="G24" s="7">
        <f t="shared" si="2"/>
        <v>-3.0312000002595596E-2</v>
      </c>
      <c r="L24" s="7">
        <f t="shared" si="3"/>
        <v>-3.0312000002595596E-2</v>
      </c>
      <c r="O24" s="7">
        <f t="shared" ca="1" si="4"/>
        <v>4.4870595319493611E-3</v>
      </c>
      <c r="Q24" s="58">
        <f t="shared" si="5"/>
        <v>15762.785</v>
      </c>
    </row>
    <row r="25" spans="1:17" s="7" customFormat="1" ht="12.95" customHeight="1" x14ac:dyDescent="0.2">
      <c r="A25" s="54" t="s">
        <v>93</v>
      </c>
      <c r="B25" s="55" t="s">
        <v>46</v>
      </c>
      <c r="C25" s="56">
        <v>31021.416000000001</v>
      </c>
      <c r="D25" s="57"/>
      <c r="E25" s="7">
        <f t="shared" si="0"/>
        <v>-2107.997047818018</v>
      </c>
      <c r="F25" s="7">
        <f t="shared" si="1"/>
        <v>-2108</v>
      </c>
      <c r="G25" s="7">
        <f t="shared" si="2"/>
        <v>7.0879999984754249E-3</v>
      </c>
      <c r="L25" s="7">
        <f t="shared" si="3"/>
        <v>7.0879999984754249E-3</v>
      </c>
      <c r="O25" s="7">
        <f t="shared" ca="1" si="4"/>
        <v>4.4026976057496541E-3</v>
      </c>
      <c r="Q25" s="58">
        <f t="shared" si="5"/>
        <v>16002.916000000001</v>
      </c>
    </row>
    <row r="26" spans="1:17" x14ac:dyDescent="0.2">
      <c r="A26" s="31" t="s">
        <v>93</v>
      </c>
      <c r="B26" s="32" t="s">
        <v>46</v>
      </c>
      <c r="C26" s="33">
        <v>31028.58</v>
      </c>
      <c r="D26" s="9"/>
      <c r="E26">
        <f t="shared" si="0"/>
        <v>-2105.013211514176</v>
      </c>
      <c r="F26">
        <f t="shared" si="1"/>
        <v>-2105</v>
      </c>
      <c r="G26">
        <f t="shared" si="2"/>
        <v>-3.1719999999040738E-2</v>
      </c>
      <c r="L26">
        <f t="shared" si="3"/>
        <v>-3.1719999999040738E-2</v>
      </c>
      <c r="O26">
        <f t="shared" ca="1" si="4"/>
        <v>4.4001667479636637E-3</v>
      </c>
      <c r="Q26" s="2">
        <f t="shared" si="5"/>
        <v>16010.080000000002</v>
      </c>
    </row>
    <row r="27" spans="1:17" x14ac:dyDescent="0.2">
      <c r="A27" s="31" t="s">
        <v>83</v>
      </c>
      <c r="B27" s="32" t="s">
        <v>46</v>
      </c>
      <c r="C27" s="33">
        <v>34332.36</v>
      </c>
      <c r="D27" s="9"/>
      <c r="E27">
        <f t="shared" si="0"/>
        <v>-728.97486646874449</v>
      </c>
      <c r="F27">
        <f t="shared" si="1"/>
        <v>-729</v>
      </c>
      <c r="G27">
        <f t="shared" si="2"/>
        <v>6.0343999997712672E-2</v>
      </c>
      <c r="L27">
        <f t="shared" si="3"/>
        <v>6.0343999997712672E-2</v>
      </c>
      <c r="O27">
        <f t="shared" ca="1" si="4"/>
        <v>3.2393466434557034E-3</v>
      </c>
      <c r="Q27" s="2">
        <f t="shared" si="5"/>
        <v>19313.86</v>
      </c>
    </row>
    <row r="28" spans="1:17" x14ac:dyDescent="0.2">
      <c r="A28" s="31" t="s">
        <v>83</v>
      </c>
      <c r="B28" s="32" t="s">
        <v>46</v>
      </c>
      <c r="C28" s="33">
        <v>35076.51</v>
      </c>
      <c r="D28" s="9"/>
      <c r="E28">
        <f t="shared" si="0"/>
        <v>-419.03324370162306</v>
      </c>
      <c r="F28">
        <f t="shared" si="1"/>
        <v>-419</v>
      </c>
      <c r="G28">
        <f t="shared" si="2"/>
        <v>-7.9815999997663312E-2</v>
      </c>
      <c r="L28">
        <f t="shared" si="3"/>
        <v>-7.9815999997663312E-2</v>
      </c>
      <c r="O28">
        <f t="shared" ca="1" si="4"/>
        <v>2.9778246722366136E-3</v>
      </c>
      <c r="Q28" s="2">
        <f t="shared" si="5"/>
        <v>20058.010000000002</v>
      </c>
    </row>
    <row r="29" spans="1:17" x14ac:dyDescent="0.2">
      <c r="A29" s="31" t="s">
        <v>83</v>
      </c>
      <c r="B29" s="32" t="s">
        <v>46</v>
      </c>
      <c r="C29" s="33">
        <v>36082.550000000003</v>
      </c>
      <c r="D29" s="9"/>
      <c r="E29">
        <f t="shared" si="0"/>
        <v>-1.3328135360227552E-2</v>
      </c>
      <c r="F29">
        <f t="shared" si="1"/>
        <v>0</v>
      </c>
      <c r="G29">
        <f t="shared" si="2"/>
        <v>-3.19999999992433E-2</v>
      </c>
      <c r="L29">
        <f t="shared" si="3"/>
        <v>-3.19999999992433E-2</v>
      </c>
      <c r="O29">
        <f t="shared" ca="1" si="4"/>
        <v>2.6243482014598439E-3</v>
      </c>
      <c r="Q29" s="2">
        <f t="shared" si="5"/>
        <v>21064.050000000003</v>
      </c>
    </row>
    <row r="30" spans="1:17" x14ac:dyDescent="0.2">
      <c r="A30" t="s">
        <v>12</v>
      </c>
      <c r="C30" s="12">
        <v>36082.582000000002</v>
      </c>
      <c r="D30" s="12" t="s">
        <v>14</v>
      </c>
      <c r="E30">
        <f t="shared" si="0"/>
        <v>0</v>
      </c>
      <c r="F30">
        <f t="shared" si="1"/>
        <v>0</v>
      </c>
      <c r="G30">
        <f t="shared" si="2"/>
        <v>0</v>
      </c>
      <c r="H30">
        <f>+G30</f>
        <v>0</v>
      </c>
      <c r="O30">
        <f t="shared" ca="1" si="4"/>
        <v>2.6243482014598439E-3</v>
      </c>
      <c r="Q30" s="2">
        <f t="shared" si="5"/>
        <v>21064.082000000002</v>
      </c>
    </row>
    <row r="31" spans="1:17" x14ac:dyDescent="0.2">
      <c r="A31" s="31" t="s">
        <v>83</v>
      </c>
      <c r="B31" s="32" t="s">
        <v>46</v>
      </c>
      <c r="C31" s="33">
        <v>36483.46</v>
      </c>
      <c r="D31" s="9"/>
      <c r="E31">
        <f t="shared" si="0"/>
        <v>166.96738272073765</v>
      </c>
      <c r="F31">
        <f t="shared" si="1"/>
        <v>167</v>
      </c>
      <c r="G31">
        <f t="shared" si="2"/>
        <v>-7.8312000005098525E-2</v>
      </c>
      <c r="L31">
        <f t="shared" ref="L31:L67" si="6">+G31</f>
        <v>-7.8312000005098525E-2</v>
      </c>
      <c r="O31">
        <f t="shared" ca="1" si="4"/>
        <v>2.4834637847063342E-3</v>
      </c>
      <c r="Q31" s="2">
        <f t="shared" si="5"/>
        <v>21464.959999999999</v>
      </c>
    </row>
    <row r="32" spans="1:17" x14ac:dyDescent="0.2">
      <c r="A32" s="31" t="s">
        <v>115</v>
      </c>
      <c r="B32" s="32" t="s">
        <v>46</v>
      </c>
      <c r="C32" s="33">
        <v>36865.383000000002</v>
      </c>
      <c r="D32" s="9"/>
      <c r="E32">
        <f t="shared" si="0"/>
        <v>326.03992776150608</v>
      </c>
      <c r="F32">
        <f t="shared" si="1"/>
        <v>326</v>
      </c>
      <c r="G32">
        <f t="shared" si="2"/>
        <v>9.5864000002620742E-2</v>
      </c>
      <c r="L32">
        <f t="shared" si="6"/>
        <v>9.5864000002620742E-2</v>
      </c>
      <c r="O32">
        <f t="shared" ca="1" si="4"/>
        <v>2.3493283220488012E-3</v>
      </c>
      <c r="Q32" s="2">
        <f t="shared" si="5"/>
        <v>21846.883000000002</v>
      </c>
    </row>
    <row r="33" spans="1:17" x14ac:dyDescent="0.2">
      <c r="A33" s="31" t="s">
        <v>115</v>
      </c>
      <c r="B33" s="32" t="s">
        <v>46</v>
      </c>
      <c r="C33" s="33">
        <v>36877.387000000002</v>
      </c>
      <c r="D33" s="9"/>
      <c r="E33">
        <f t="shared" si="0"/>
        <v>331.03964453863006</v>
      </c>
      <c r="F33">
        <f t="shared" si="1"/>
        <v>331</v>
      </c>
      <c r="G33">
        <f t="shared" si="2"/>
        <v>9.5183999997971114E-2</v>
      </c>
      <c r="L33">
        <f t="shared" si="6"/>
        <v>9.5183999997971114E-2</v>
      </c>
      <c r="O33">
        <f t="shared" ca="1" si="4"/>
        <v>2.3451102257388157E-3</v>
      </c>
      <c r="Q33" s="2">
        <f t="shared" si="5"/>
        <v>21858.887000000002</v>
      </c>
    </row>
    <row r="34" spans="1:17" x14ac:dyDescent="0.2">
      <c r="A34" s="31" t="s">
        <v>83</v>
      </c>
      <c r="B34" s="32" t="s">
        <v>46</v>
      </c>
      <c r="C34" s="33">
        <v>37561.54</v>
      </c>
      <c r="D34" s="9"/>
      <c r="E34">
        <f t="shared" si="0"/>
        <v>615.9922630174226</v>
      </c>
      <c r="F34">
        <f t="shared" si="1"/>
        <v>616</v>
      </c>
      <c r="G34">
        <f t="shared" si="2"/>
        <v>-1.8576000002212822E-2</v>
      </c>
      <c r="L34">
        <f t="shared" si="6"/>
        <v>-1.8576000002212822E-2</v>
      </c>
      <c r="O34">
        <f t="shared" ca="1" si="4"/>
        <v>2.1046787360696527E-3</v>
      </c>
      <c r="Q34" s="2">
        <f t="shared" si="5"/>
        <v>22543.040000000001</v>
      </c>
    </row>
    <row r="35" spans="1:17" x14ac:dyDescent="0.2">
      <c r="A35" s="31" t="s">
        <v>93</v>
      </c>
      <c r="B35" s="32" t="s">
        <v>46</v>
      </c>
      <c r="C35" s="33">
        <v>37561.589</v>
      </c>
      <c r="D35" s="9"/>
      <c r="E35">
        <f t="shared" si="0"/>
        <v>616.01267172469306</v>
      </c>
      <c r="F35">
        <f t="shared" si="1"/>
        <v>616</v>
      </c>
      <c r="G35">
        <f t="shared" si="2"/>
        <v>3.0423999996855855E-2</v>
      </c>
      <c r="L35">
        <f t="shared" si="6"/>
        <v>3.0423999996855855E-2</v>
      </c>
      <c r="O35">
        <f t="shared" ca="1" si="4"/>
        <v>2.1046787360696527E-3</v>
      </c>
      <c r="Q35" s="2">
        <f t="shared" si="5"/>
        <v>22543.089</v>
      </c>
    </row>
    <row r="36" spans="1:17" x14ac:dyDescent="0.2">
      <c r="A36" s="31" t="s">
        <v>83</v>
      </c>
      <c r="B36" s="32" t="s">
        <v>46</v>
      </c>
      <c r="C36" s="33">
        <v>37974.47</v>
      </c>
      <c r="D36" s="9"/>
      <c r="E36">
        <f t="shared" si="0"/>
        <v>787.97935471832602</v>
      </c>
      <c r="F36">
        <f t="shared" si="1"/>
        <v>788</v>
      </c>
      <c r="G36">
        <f t="shared" si="2"/>
        <v>-4.9568000002182089E-2</v>
      </c>
      <c r="L36">
        <f t="shared" si="6"/>
        <v>-4.9568000002182089E-2</v>
      </c>
      <c r="O36">
        <f t="shared" ca="1" si="4"/>
        <v>1.9595762230061576E-3</v>
      </c>
      <c r="Q36" s="2">
        <f t="shared" si="5"/>
        <v>22955.97</v>
      </c>
    </row>
    <row r="37" spans="1:17" x14ac:dyDescent="0.2">
      <c r="A37" s="31" t="s">
        <v>93</v>
      </c>
      <c r="B37" s="32" t="s">
        <v>46</v>
      </c>
      <c r="C37" s="33">
        <v>38327.476000000002</v>
      </c>
      <c r="D37" s="9"/>
      <c r="E37">
        <f t="shared" si="0"/>
        <v>935.00784693969354</v>
      </c>
      <c r="F37">
        <f t="shared" si="1"/>
        <v>935</v>
      </c>
      <c r="G37">
        <f t="shared" si="2"/>
        <v>1.8839999996998813E-2</v>
      </c>
      <c r="L37">
        <f t="shared" si="6"/>
        <v>1.8839999996998813E-2</v>
      </c>
      <c r="O37">
        <f t="shared" ca="1" si="4"/>
        <v>1.8355641914925892E-3</v>
      </c>
      <c r="Q37" s="2">
        <f t="shared" si="5"/>
        <v>23308.976000000002</v>
      </c>
    </row>
    <row r="38" spans="1:17" x14ac:dyDescent="0.2">
      <c r="A38" s="31" t="s">
        <v>93</v>
      </c>
      <c r="B38" s="32" t="s">
        <v>46</v>
      </c>
      <c r="C38" s="33">
        <v>38327.483999999997</v>
      </c>
      <c r="D38" s="9"/>
      <c r="E38">
        <f t="shared" si="0"/>
        <v>935.01117897353129</v>
      </c>
      <c r="F38">
        <f t="shared" si="1"/>
        <v>935</v>
      </c>
      <c r="G38">
        <f t="shared" si="2"/>
        <v>2.683999999135267E-2</v>
      </c>
      <c r="L38">
        <f t="shared" si="6"/>
        <v>2.683999999135267E-2</v>
      </c>
      <c r="O38">
        <f t="shared" ca="1" si="4"/>
        <v>1.8355641914925892E-3</v>
      </c>
      <c r="Q38" s="2">
        <f t="shared" si="5"/>
        <v>23308.983999999997</v>
      </c>
    </row>
    <row r="39" spans="1:17" x14ac:dyDescent="0.2">
      <c r="A39" s="31" t="s">
        <v>93</v>
      </c>
      <c r="B39" s="32" t="s">
        <v>46</v>
      </c>
      <c r="C39" s="33">
        <v>38411.491999999998</v>
      </c>
      <c r="D39" s="9"/>
      <c r="E39">
        <f t="shared" si="0"/>
        <v>970.00086632879675</v>
      </c>
      <c r="F39">
        <f t="shared" si="1"/>
        <v>970</v>
      </c>
      <c r="G39">
        <f t="shared" si="2"/>
        <v>2.0799999983864836E-3</v>
      </c>
      <c r="L39">
        <f t="shared" si="6"/>
        <v>2.0799999983864836E-3</v>
      </c>
      <c r="O39">
        <f t="shared" ca="1" si="4"/>
        <v>1.806037517322692E-3</v>
      </c>
      <c r="Q39" s="2">
        <f t="shared" si="5"/>
        <v>23392.991999999998</v>
      </c>
    </row>
    <row r="40" spans="1:17" x14ac:dyDescent="0.2">
      <c r="A40" s="31" t="s">
        <v>93</v>
      </c>
      <c r="B40" s="32" t="s">
        <v>46</v>
      </c>
      <c r="C40" s="33">
        <v>38464.319000000003</v>
      </c>
      <c r="D40" s="9"/>
      <c r="E40">
        <f t="shared" si="0"/>
        <v>992.0035352879047</v>
      </c>
      <c r="F40">
        <f t="shared" si="1"/>
        <v>992</v>
      </c>
      <c r="G40">
        <f t="shared" si="2"/>
        <v>8.4879999994882382E-3</v>
      </c>
      <c r="L40">
        <f t="shared" si="6"/>
        <v>8.4879999994882382E-3</v>
      </c>
      <c r="O40">
        <f t="shared" ca="1" si="4"/>
        <v>1.7874778935587565E-3</v>
      </c>
      <c r="Q40" s="2">
        <f t="shared" si="5"/>
        <v>23445.819000000003</v>
      </c>
    </row>
    <row r="41" spans="1:17" x14ac:dyDescent="0.2">
      <c r="A41" s="31" t="s">
        <v>83</v>
      </c>
      <c r="B41" s="32" t="s">
        <v>46</v>
      </c>
      <c r="C41" s="33">
        <v>38651.56</v>
      </c>
      <c r="D41" s="9"/>
      <c r="E41">
        <f t="shared" si="0"/>
        <v>1069.990203820508</v>
      </c>
      <c r="F41">
        <f t="shared" si="1"/>
        <v>1070</v>
      </c>
      <c r="G41">
        <f t="shared" si="2"/>
        <v>-2.3520000002463348E-2</v>
      </c>
      <c r="L41">
        <f t="shared" si="6"/>
        <v>-2.3520000002463348E-2</v>
      </c>
      <c r="O41">
        <f t="shared" ca="1" si="4"/>
        <v>1.7216755911229856E-3</v>
      </c>
      <c r="Q41" s="2">
        <f t="shared" si="5"/>
        <v>23633.059999999998</v>
      </c>
    </row>
    <row r="42" spans="1:17" x14ac:dyDescent="0.2">
      <c r="A42" s="31" t="s">
        <v>146</v>
      </c>
      <c r="B42" s="32" t="s">
        <v>46</v>
      </c>
      <c r="C42" s="33">
        <v>38651.563000000002</v>
      </c>
      <c r="D42" s="9"/>
      <c r="E42">
        <f t="shared" si="0"/>
        <v>1069.9914533331998</v>
      </c>
      <c r="F42">
        <f t="shared" si="1"/>
        <v>1070</v>
      </c>
      <c r="G42">
        <f t="shared" si="2"/>
        <v>-2.0519999998214189E-2</v>
      </c>
      <c r="L42">
        <f t="shared" si="6"/>
        <v>-2.0519999998214189E-2</v>
      </c>
      <c r="O42">
        <f t="shared" ca="1" si="4"/>
        <v>1.7216755911229856E-3</v>
      </c>
      <c r="Q42" s="2">
        <f t="shared" si="5"/>
        <v>23633.063000000002</v>
      </c>
    </row>
    <row r="43" spans="1:17" x14ac:dyDescent="0.2">
      <c r="A43" s="31" t="s">
        <v>146</v>
      </c>
      <c r="B43" s="32" t="s">
        <v>46</v>
      </c>
      <c r="C43" s="33">
        <v>38709.336000000003</v>
      </c>
      <c r="D43" s="9"/>
      <c r="E43">
        <f t="shared" si="0"/>
        <v>1094.0541522139702</v>
      </c>
      <c r="F43">
        <f t="shared" si="1"/>
        <v>1094</v>
      </c>
      <c r="G43">
        <f t="shared" si="2"/>
        <v>0.13001600000279723</v>
      </c>
      <c r="L43">
        <f t="shared" si="6"/>
        <v>0.13001600000279723</v>
      </c>
      <c r="O43">
        <f t="shared" ca="1" si="4"/>
        <v>1.7014287288350562E-3</v>
      </c>
      <c r="Q43" s="2">
        <f t="shared" si="5"/>
        <v>23690.836000000003</v>
      </c>
    </row>
    <row r="44" spans="1:17" x14ac:dyDescent="0.2">
      <c r="A44" s="31" t="s">
        <v>146</v>
      </c>
      <c r="B44" s="32" t="s">
        <v>46</v>
      </c>
      <c r="C44" s="33">
        <v>38781.307999999997</v>
      </c>
      <c r="D44" s="9"/>
      <c r="E44">
        <f t="shared" si="0"/>
        <v>1124.0307946567484</v>
      </c>
      <c r="F44">
        <f t="shared" si="1"/>
        <v>1124</v>
      </c>
      <c r="G44">
        <f t="shared" si="2"/>
        <v>7.3935999993409496E-2</v>
      </c>
      <c r="L44">
        <f t="shared" si="6"/>
        <v>7.3935999993409496E-2</v>
      </c>
      <c r="O44">
        <f t="shared" ca="1" si="4"/>
        <v>1.6761201509751442E-3</v>
      </c>
      <c r="Q44" s="2">
        <f t="shared" si="5"/>
        <v>23762.807999999997</v>
      </c>
    </row>
    <row r="45" spans="1:17" x14ac:dyDescent="0.2">
      <c r="A45" s="31" t="s">
        <v>83</v>
      </c>
      <c r="B45" s="32" t="s">
        <v>46</v>
      </c>
      <c r="C45" s="33">
        <v>39028.51</v>
      </c>
      <c r="D45" s="9"/>
      <c r="E45">
        <f t="shared" si="0"/>
        <v>1226.9914733254029</v>
      </c>
      <c r="F45">
        <f t="shared" si="1"/>
        <v>1227</v>
      </c>
      <c r="G45">
        <f t="shared" si="2"/>
        <v>-2.0471999996516388E-2</v>
      </c>
      <c r="L45">
        <f t="shared" si="6"/>
        <v>-2.0471999996516388E-2</v>
      </c>
      <c r="O45">
        <f t="shared" ca="1" si="4"/>
        <v>1.5892273669894466E-3</v>
      </c>
      <c r="Q45" s="2">
        <f t="shared" si="5"/>
        <v>24010.010000000002</v>
      </c>
    </row>
    <row r="46" spans="1:17" x14ac:dyDescent="0.2">
      <c r="A46" s="31" t="s">
        <v>93</v>
      </c>
      <c r="B46" s="32" t="s">
        <v>46</v>
      </c>
      <c r="C46" s="33">
        <v>39028.512999999999</v>
      </c>
      <c r="D46" s="9"/>
      <c r="E46">
        <f t="shared" si="0"/>
        <v>1226.9927228380918</v>
      </c>
      <c r="F46">
        <f t="shared" si="1"/>
        <v>1227</v>
      </c>
      <c r="G46">
        <f t="shared" si="2"/>
        <v>-1.7471999999543186E-2</v>
      </c>
      <c r="L46">
        <f t="shared" si="6"/>
        <v>-1.7471999999543186E-2</v>
      </c>
      <c r="O46">
        <f t="shared" ca="1" si="4"/>
        <v>1.5892273669894466E-3</v>
      </c>
      <c r="Q46" s="2">
        <f t="shared" si="5"/>
        <v>24010.012999999999</v>
      </c>
    </row>
    <row r="47" spans="1:17" x14ac:dyDescent="0.2">
      <c r="A47" s="31" t="s">
        <v>93</v>
      </c>
      <c r="B47" s="32" t="s">
        <v>46</v>
      </c>
      <c r="C47" s="33">
        <v>39028.563999999998</v>
      </c>
      <c r="D47" s="9"/>
      <c r="E47">
        <f t="shared" si="0"/>
        <v>1227.0139645538225</v>
      </c>
      <c r="F47">
        <f t="shared" si="1"/>
        <v>1227</v>
      </c>
      <c r="G47">
        <f t="shared" si="2"/>
        <v>3.3527999999932945E-2</v>
      </c>
      <c r="L47">
        <f t="shared" si="6"/>
        <v>3.3527999999932945E-2</v>
      </c>
      <c r="O47">
        <f t="shared" ca="1" si="4"/>
        <v>1.5892273669894466E-3</v>
      </c>
      <c r="Q47" s="2">
        <f t="shared" si="5"/>
        <v>24010.063999999998</v>
      </c>
    </row>
    <row r="48" spans="1:17" x14ac:dyDescent="0.2">
      <c r="A48" s="31" t="s">
        <v>93</v>
      </c>
      <c r="B48" s="32" t="s">
        <v>46</v>
      </c>
      <c r="C48" s="33">
        <v>39441.483</v>
      </c>
      <c r="D48" s="9"/>
      <c r="E48">
        <f t="shared" si="0"/>
        <v>1398.9964747081963</v>
      </c>
      <c r="F48">
        <f t="shared" si="1"/>
        <v>1399</v>
      </c>
      <c r="G48">
        <f t="shared" si="2"/>
        <v>-8.4640000059152953E-3</v>
      </c>
      <c r="L48">
        <f t="shared" si="6"/>
        <v>-8.4640000059152953E-3</v>
      </c>
      <c r="O48">
        <f t="shared" ca="1" si="4"/>
        <v>1.4441248539259516E-3</v>
      </c>
      <c r="Q48" s="2">
        <f t="shared" si="5"/>
        <v>24422.983</v>
      </c>
    </row>
    <row r="49" spans="1:17" x14ac:dyDescent="0.2">
      <c r="A49" s="31" t="s">
        <v>83</v>
      </c>
      <c r="B49" s="32" t="s">
        <v>46</v>
      </c>
      <c r="C49" s="33">
        <v>39777.54</v>
      </c>
      <c r="D49" s="9"/>
      <c r="E49">
        <f t="shared" si="0"/>
        <v>1538.965636735006</v>
      </c>
      <c r="F49">
        <f t="shared" si="1"/>
        <v>1539</v>
      </c>
      <c r="G49">
        <f t="shared" si="2"/>
        <v>-8.2503999998152722E-2</v>
      </c>
      <c r="L49">
        <f t="shared" si="6"/>
        <v>-8.2503999998152722E-2</v>
      </c>
      <c r="O49">
        <f t="shared" ca="1" si="4"/>
        <v>1.3260181572463626E-3</v>
      </c>
      <c r="Q49" s="2">
        <f t="shared" si="5"/>
        <v>24759.040000000001</v>
      </c>
    </row>
    <row r="50" spans="1:17" x14ac:dyDescent="0.2">
      <c r="A50" s="31" t="s">
        <v>93</v>
      </c>
      <c r="B50" s="32" t="s">
        <v>46</v>
      </c>
      <c r="C50" s="33">
        <v>40483.502</v>
      </c>
      <c r="D50" s="9"/>
      <c r="E50">
        <f t="shared" si="0"/>
        <v>1833.0017959662389</v>
      </c>
      <c r="F50">
        <f t="shared" si="1"/>
        <v>1833</v>
      </c>
      <c r="G50">
        <f t="shared" si="2"/>
        <v>4.3119999972986989E-3</v>
      </c>
      <c r="L50">
        <f t="shared" si="6"/>
        <v>4.3119999972986989E-3</v>
      </c>
      <c r="O50">
        <f t="shared" ca="1" si="4"/>
        <v>1.0779940942192258E-3</v>
      </c>
      <c r="Q50" s="2">
        <f t="shared" si="5"/>
        <v>25465.002</v>
      </c>
    </row>
    <row r="51" spans="1:17" x14ac:dyDescent="0.2">
      <c r="A51" s="31" t="s">
        <v>93</v>
      </c>
      <c r="B51" s="32" t="s">
        <v>46</v>
      </c>
      <c r="C51" s="33">
        <v>40507.512999999999</v>
      </c>
      <c r="D51" s="9"/>
      <c r="E51">
        <f t="shared" si="0"/>
        <v>1843.0024790331756</v>
      </c>
      <c r="F51">
        <f t="shared" si="1"/>
        <v>1843</v>
      </c>
      <c r="G51">
        <f t="shared" si="2"/>
        <v>5.9519999995245598E-3</v>
      </c>
      <c r="L51">
        <f t="shared" si="6"/>
        <v>5.9519999995245598E-3</v>
      </c>
      <c r="O51">
        <f t="shared" ca="1" si="4"/>
        <v>1.0695579015992554E-3</v>
      </c>
      <c r="Q51" s="2">
        <f t="shared" si="5"/>
        <v>25489.012999999999</v>
      </c>
    </row>
    <row r="52" spans="1:17" x14ac:dyDescent="0.2">
      <c r="A52" s="31" t="s">
        <v>115</v>
      </c>
      <c r="B52" s="32" t="s">
        <v>46</v>
      </c>
      <c r="C52" s="33">
        <v>40514.624000000003</v>
      </c>
      <c r="D52" s="9"/>
      <c r="E52">
        <f t="shared" si="0"/>
        <v>1845.964240612828</v>
      </c>
      <c r="F52">
        <f t="shared" si="1"/>
        <v>1846</v>
      </c>
      <c r="G52">
        <f t="shared" si="2"/>
        <v>-8.5855999997875188E-2</v>
      </c>
      <c r="L52">
        <f t="shared" si="6"/>
        <v>-8.5855999997875188E-2</v>
      </c>
      <c r="O52">
        <f t="shared" ca="1" si="4"/>
        <v>1.0670270438132641E-3</v>
      </c>
      <c r="Q52" s="2">
        <f t="shared" si="5"/>
        <v>25496.124000000003</v>
      </c>
    </row>
    <row r="53" spans="1:17" x14ac:dyDescent="0.2">
      <c r="A53" s="31" t="s">
        <v>93</v>
      </c>
      <c r="B53" s="32" t="s">
        <v>46</v>
      </c>
      <c r="C53" s="33">
        <v>40531.500999999997</v>
      </c>
      <c r="D53" s="9"/>
      <c r="E53">
        <f t="shared" ref="E53:E84" si="7">+(C53-C$7)/C$8</f>
        <v>1852.9935825028215</v>
      </c>
      <c r="F53">
        <f t="shared" ref="F53:F84" si="8">ROUND(2*E53,0)/2</f>
        <v>1853</v>
      </c>
      <c r="G53">
        <f t="shared" ref="G53:G84" si="9">+C53-(C$7+F53*C$8)</f>
        <v>-1.5408000006573275E-2</v>
      </c>
      <c r="L53">
        <f t="shared" si="6"/>
        <v>-1.5408000006573275E-2</v>
      </c>
      <c r="O53">
        <f t="shared" ref="O53:O84" ca="1" si="10">+C$11+C$12*$F53</f>
        <v>1.0611217089792847E-3</v>
      </c>
      <c r="Q53" s="2">
        <f t="shared" ref="Q53:Q84" si="11">+C53-15018.5</f>
        <v>25513.000999999997</v>
      </c>
    </row>
    <row r="54" spans="1:17" x14ac:dyDescent="0.2">
      <c r="A54" s="31" t="s">
        <v>115</v>
      </c>
      <c r="B54" s="32" t="s">
        <v>46</v>
      </c>
      <c r="C54" s="33">
        <v>40567.470999999998</v>
      </c>
      <c r="D54" s="9"/>
      <c r="E54">
        <f t="shared" si="7"/>
        <v>1867.975239656532</v>
      </c>
      <c r="F54">
        <f t="shared" si="8"/>
        <v>1868</v>
      </c>
      <c r="G54">
        <f t="shared" si="9"/>
        <v>-5.9448000007250812E-2</v>
      </c>
      <c r="L54">
        <f t="shared" si="6"/>
        <v>-5.9448000007250812E-2</v>
      </c>
      <c r="O54">
        <f t="shared" ca="1" si="10"/>
        <v>1.0484674200493286E-3</v>
      </c>
      <c r="Q54" s="2">
        <f t="shared" si="11"/>
        <v>25548.970999999998</v>
      </c>
    </row>
    <row r="55" spans="1:17" x14ac:dyDescent="0.2">
      <c r="A55" s="31" t="s">
        <v>115</v>
      </c>
      <c r="B55" s="32" t="s">
        <v>46</v>
      </c>
      <c r="C55" s="33">
        <v>40884.373</v>
      </c>
      <c r="D55" s="9"/>
      <c r="E55">
        <f t="shared" si="7"/>
        <v>1999.9662631573674</v>
      </c>
      <c r="F55">
        <f t="shared" si="8"/>
        <v>2000</v>
      </c>
      <c r="G55">
        <f t="shared" si="9"/>
        <v>-8.1000000005587935E-2</v>
      </c>
      <c r="L55">
        <f t="shared" si="6"/>
        <v>-8.1000000005587935E-2</v>
      </c>
      <c r="O55">
        <f t="shared" ca="1" si="10"/>
        <v>9.3710967746571633E-4</v>
      </c>
      <c r="Q55" s="2">
        <f t="shared" si="11"/>
        <v>25865.873</v>
      </c>
    </row>
    <row r="56" spans="1:17" x14ac:dyDescent="0.2">
      <c r="A56" s="31" t="s">
        <v>83</v>
      </c>
      <c r="B56" s="32" t="s">
        <v>46</v>
      </c>
      <c r="C56" s="33">
        <v>41220.54</v>
      </c>
      <c r="D56" s="9"/>
      <c r="E56">
        <f t="shared" si="7"/>
        <v>2139.9812406494793</v>
      </c>
      <c r="F56">
        <f t="shared" si="8"/>
        <v>2140</v>
      </c>
      <c r="G56">
        <f t="shared" si="9"/>
        <v>-4.5040000004519243E-2</v>
      </c>
      <c r="L56">
        <f t="shared" si="6"/>
        <v>-4.5040000004519243E-2</v>
      </c>
      <c r="O56">
        <f t="shared" ca="1" si="10"/>
        <v>8.1900298078612732E-4</v>
      </c>
      <c r="Q56" s="2">
        <f t="shared" si="11"/>
        <v>26202.04</v>
      </c>
    </row>
    <row r="57" spans="1:17" x14ac:dyDescent="0.2">
      <c r="A57" s="31" t="s">
        <v>115</v>
      </c>
      <c r="B57" s="32" t="s">
        <v>46</v>
      </c>
      <c r="C57" s="33">
        <v>41242.362999999998</v>
      </c>
      <c r="D57" s="9"/>
      <c r="E57">
        <f t="shared" si="7"/>
        <v>2149.0706124611379</v>
      </c>
      <c r="F57">
        <f t="shared" si="8"/>
        <v>2149</v>
      </c>
      <c r="G57">
        <f t="shared" si="9"/>
        <v>0.16953599999396829</v>
      </c>
      <c r="L57">
        <f t="shared" si="6"/>
        <v>0.16953599999396829</v>
      </c>
      <c r="O57">
        <f t="shared" ca="1" si="10"/>
        <v>8.1141040742815375E-4</v>
      </c>
      <c r="Q57" s="2">
        <f t="shared" si="11"/>
        <v>26223.862999999998</v>
      </c>
    </row>
    <row r="58" spans="1:17" x14ac:dyDescent="0.2">
      <c r="A58" s="31" t="s">
        <v>93</v>
      </c>
      <c r="B58" s="32" t="s">
        <v>46</v>
      </c>
      <c r="C58" s="33">
        <v>41244.557000000001</v>
      </c>
      <c r="D58" s="9"/>
      <c r="E58">
        <f t="shared" si="7"/>
        <v>2149.9844227417966</v>
      </c>
      <c r="F58">
        <f t="shared" si="8"/>
        <v>2150</v>
      </c>
      <c r="G58">
        <f t="shared" si="9"/>
        <v>-3.7400000001071021E-2</v>
      </c>
      <c r="L58">
        <f t="shared" si="6"/>
        <v>-3.7400000001071021E-2</v>
      </c>
      <c r="O58">
        <f t="shared" ca="1" si="10"/>
        <v>8.1056678816615667E-4</v>
      </c>
      <c r="Q58" s="2">
        <f t="shared" si="11"/>
        <v>26226.057000000001</v>
      </c>
    </row>
    <row r="59" spans="1:17" x14ac:dyDescent="0.2">
      <c r="A59" s="31" t="s">
        <v>93</v>
      </c>
      <c r="B59" s="32" t="s">
        <v>46</v>
      </c>
      <c r="C59" s="33">
        <v>41249.377999999997</v>
      </c>
      <c r="D59" s="9"/>
      <c r="E59">
        <f t="shared" si="7"/>
        <v>2151.9923896347068</v>
      </c>
      <c r="F59">
        <f t="shared" si="8"/>
        <v>2152</v>
      </c>
      <c r="G59">
        <f t="shared" si="9"/>
        <v>-1.8272000008437317E-2</v>
      </c>
      <c r="L59">
        <f t="shared" si="6"/>
        <v>-1.8272000008437317E-2</v>
      </c>
      <c r="O59">
        <f t="shared" ca="1" si="10"/>
        <v>8.0887954964216249E-4</v>
      </c>
      <c r="Q59" s="2">
        <f t="shared" si="11"/>
        <v>26230.877999999997</v>
      </c>
    </row>
    <row r="60" spans="1:17" x14ac:dyDescent="0.2">
      <c r="A60" s="31" t="s">
        <v>93</v>
      </c>
      <c r="B60" s="32" t="s">
        <v>46</v>
      </c>
      <c r="C60" s="33">
        <v>41333.442000000003</v>
      </c>
      <c r="D60" s="9"/>
      <c r="E60">
        <f t="shared" si="7"/>
        <v>2187.0054012268552</v>
      </c>
      <c r="F60">
        <f t="shared" si="8"/>
        <v>2187</v>
      </c>
      <c r="G60">
        <f t="shared" si="9"/>
        <v>1.2968000002729241E-2</v>
      </c>
      <c r="L60">
        <f t="shared" si="6"/>
        <v>1.2968000002729241E-2</v>
      </c>
      <c r="O60">
        <f t="shared" ca="1" si="10"/>
        <v>7.793528754722653E-4</v>
      </c>
      <c r="Q60" s="2">
        <f t="shared" si="11"/>
        <v>26314.942000000003</v>
      </c>
    </row>
    <row r="61" spans="1:17" x14ac:dyDescent="0.2">
      <c r="A61" s="31" t="s">
        <v>93</v>
      </c>
      <c r="B61" s="32" t="s">
        <v>46</v>
      </c>
      <c r="C61" s="33">
        <v>41350.258999999998</v>
      </c>
      <c r="D61" s="9"/>
      <c r="E61">
        <f t="shared" si="7"/>
        <v>2194.0097528630481</v>
      </c>
      <c r="F61">
        <f t="shared" si="8"/>
        <v>2194</v>
      </c>
      <c r="G61">
        <f t="shared" si="9"/>
        <v>2.341599999635946E-2</v>
      </c>
      <c r="L61">
        <f t="shared" si="6"/>
        <v>2.341599999635946E-2</v>
      </c>
      <c r="O61">
        <f t="shared" ca="1" si="10"/>
        <v>7.734475406382859E-4</v>
      </c>
      <c r="Q61" s="2">
        <f t="shared" si="11"/>
        <v>26331.758999999998</v>
      </c>
    </row>
    <row r="62" spans="1:17" x14ac:dyDescent="0.2">
      <c r="A62" s="31" t="s">
        <v>83</v>
      </c>
      <c r="B62" s="32" t="s">
        <v>46</v>
      </c>
      <c r="C62" s="33">
        <v>42310.55</v>
      </c>
      <c r="D62" s="9"/>
      <c r="E62">
        <f t="shared" si="7"/>
        <v>2593.9750164102666</v>
      </c>
      <c r="F62">
        <f t="shared" si="8"/>
        <v>2594</v>
      </c>
      <c r="G62">
        <f t="shared" si="9"/>
        <v>-5.9983999999531079E-2</v>
      </c>
      <c r="L62">
        <f t="shared" si="6"/>
        <v>-5.9983999999531079E-2</v>
      </c>
      <c r="O62">
        <f t="shared" ca="1" si="10"/>
        <v>4.3599983583946043E-4</v>
      </c>
      <c r="Q62" s="2">
        <f t="shared" si="11"/>
        <v>27292.050000000003</v>
      </c>
    </row>
    <row r="63" spans="1:17" x14ac:dyDescent="0.2">
      <c r="A63" s="31" t="s">
        <v>83</v>
      </c>
      <c r="B63" s="32" t="s">
        <v>46</v>
      </c>
      <c r="C63" s="33">
        <v>42339.46</v>
      </c>
      <c r="D63" s="9"/>
      <c r="E63">
        <f t="shared" si="7"/>
        <v>2606.0161537000554</v>
      </c>
      <c r="F63">
        <f t="shared" si="8"/>
        <v>2606</v>
      </c>
      <c r="G63">
        <f t="shared" si="9"/>
        <v>3.8783999996667262E-2</v>
      </c>
      <c r="L63">
        <f t="shared" si="6"/>
        <v>3.8783999996667262E-2</v>
      </c>
      <c r="O63">
        <f t="shared" ca="1" si="10"/>
        <v>4.2587640469549581E-4</v>
      </c>
      <c r="Q63" s="2">
        <f t="shared" si="11"/>
        <v>27320.959999999999</v>
      </c>
    </row>
    <row r="64" spans="1:17" x14ac:dyDescent="0.2">
      <c r="A64" s="31" t="s">
        <v>83</v>
      </c>
      <c r="B64" s="32" t="s">
        <v>46</v>
      </c>
      <c r="C64" s="33">
        <v>42363.43</v>
      </c>
      <c r="D64" s="9"/>
      <c r="E64">
        <f t="shared" si="7"/>
        <v>2615.9997600935626</v>
      </c>
      <c r="F64">
        <f t="shared" si="8"/>
        <v>2616</v>
      </c>
      <c r="G64">
        <f t="shared" si="9"/>
        <v>-5.759999985457398E-4</v>
      </c>
      <c r="L64">
        <f t="shared" si="6"/>
        <v>-5.759999985457398E-4</v>
      </c>
      <c r="O64">
        <f t="shared" ca="1" si="10"/>
        <v>4.1744021207552493E-4</v>
      </c>
      <c r="Q64" s="2">
        <f t="shared" si="11"/>
        <v>27344.93</v>
      </c>
    </row>
    <row r="65" spans="1:30" x14ac:dyDescent="0.2">
      <c r="A65" s="31" t="s">
        <v>83</v>
      </c>
      <c r="B65" s="32" t="s">
        <v>46</v>
      </c>
      <c r="C65" s="33">
        <v>42699.55</v>
      </c>
      <c r="D65" s="9"/>
      <c r="E65">
        <f t="shared" si="7"/>
        <v>2755.995161886864</v>
      </c>
      <c r="F65">
        <f t="shared" si="8"/>
        <v>2756</v>
      </c>
      <c r="G65">
        <f t="shared" si="9"/>
        <v>-1.1616000003414229E-2</v>
      </c>
      <c r="L65">
        <f t="shared" si="6"/>
        <v>-1.1616000003414229E-2</v>
      </c>
      <c r="O65">
        <f t="shared" ca="1" si="10"/>
        <v>2.9933351539593615E-4</v>
      </c>
      <c r="Q65" s="2">
        <f t="shared" si="11"/>
        <v>27681.050000000003</v>
      </c>
    </row>
    <row r="66" spans="1:30" x14ac:dyDescent="0.2">
      <c r="A66" s="31" t="s">
        <v>83</v>
      </c>
      <c r="B66" s="32" t="s">
        <v>46</v>
      </c>
      <c r="C66" s="33">
        <v>43429.48</v>
      </c>
      <c r="D66" s="9"/>
      <c r="E66">
        <f t="shared" si="7"/>
        <v>3060.014094503144</v>
      </c>
      <c r="F66">
        <f t="shared" si="8"/>
        <v>3060</v>
      </c>
      <c r="G66">
        <f t="shared" si="9"/>
        <v>3.3839999996416736E-2</v>
      </c>
      <c r="L66">
        <f t="shared" si="6"/>
        <v>3.3839999996416736E-2</v>
      </c>
      <c r="O66">
        <f t="shared" ca="1" si="10"/>
        <v>4.2873259748828479E-5</v>
      </c>
      <c r="Q66" s="2">
        <f t="shared" si="11"/>
        <v>28410.980000000003</v>
      </c>
    </row>
    <row r="67" spans="1:30" x14ac:dyDescent="0.2">
      <c r="A67" s="31" t="s">
        <v>83</v>
      </c>
      <c r="B67" s="32" t="s">
        <v>46</v>
      </c>
      <c r="C67" s="33">
        <v>43518.3</v>
      </c>
      <c r="D67" s="9"/>
      <c r="E67">
        <f t="shared" si="7"/>
        <v>3097.0080002132504</v>
      </c>
      <c r="F67">
        <f t="shared" si="8"/>
        <v>3097</v>
      </c>
      <c r="G67">
        <f t="shared" si="9"/>
        <v>1.9207999997888692E-2</v>
      </c>
      <c r="L67">
        <f t="shared" si="6"/>
        <v>1.9207999997888692E-2</v>
      </c>
      <c r="O67">
        <f t="shared" ca="1" si="10"/>
        <v>1.1659347054937107E-5</v>
      </c>
      <c r="Q67" s="2">
        <f t="shared" si="11"/>
        <v>28499.800000000003</v>
      </c>
    </row>
    <row r="68" spans="1:30" x14ac:dyDescent="0.2">
      <c r="A68" t="s">
        <v>28</v>
      </c>
      <c r="C68" s="12">
        <v>43777.587</v>
      </c>
      <c r="D68" s="12"/>
      <c r="E68">
        <f t="shared" si="7"/>
        <v>3205.0021325016564</v>
      </c>
      <c r="F68">
        <f t="shared" si="8"/>
        <v>3205</v>
      </c>
      <c r="G68">
        <f t="shared" si="9"/>
        <v>5.1199999943492003E-3</v>
      </c>
      <c r="L68">
        <f>+G68</f>
        <v>5.1199999943492003E-3</v>
      </c>
      <c r="O68">
        <f t="shared" ca="1" si="10"/>
        <v>-7.9451533240745744E-5</v>
      </c>
      <c r="Q68" s="2">
        <f t="shared" si="11"/>
        <v>28759.087</v>
      </c>
      <c r="AA68">
        <v>7</v>
      </c>
      <c r="AB68" t="s">
        <v>27</v>
      </c>
      <c r="AD68" t="s">
        <v>29</v>
      </c>
    </row>
    <row r="69" spans="1:30" x14ac:dyDescent="0.2">
      <c r="A69" t="s">
        <v>28</v>
      </c>
      <c r="C69" s="12">
        <v>43782.402999999998</v>
      </c>
      <c r="D69" s="12"/>
      <c r="E69">
        <f t="shared" si="7"/>
        <v>3207.0080168734175</v>
      </c>
      <c r="F69">
        <f t="shared" si="8"/>
        <v>3207</v>
      </c>
      <c r="G69">
        <f t="shared" si="9"/>
        <v>1.9247999996878207E-2</v>
      </c>
      <c r="L69">
        <f>+G69</f>
        <v>1.9247999996878207E-2</v>
      </c>
      <c r="O69">
        <f t="shared" ca="1" si="10"/>
        <v>-8.1138771764739919E-5</v>
      </c>
      <c r="Q69" s="2">
        <f t="shared" si="11"/>
        <v>28763.902999999998</v>
      </c>
      <c r="AA69">
        <v>4</v>
      </c>
      <c r="AB69" t="s">
        <v>27</v>
      </c>
      <c r="AD69" t="s">
        <v>29</v>
      </c>
    </row>
    <row r="70" spans="1:30" x14ac:dyDescent="0.2">
      <c r="A70" t="s">
        <v>30</v>
      </c>
      <c r="C70" s="12">
        <v>43890.445</v>
      </c>
      <c r="D70" s="12"/>
      <c r="E70">
        <f t="shared" si="7"/>
        <v>3252.0079668929106</v>
      </c>
      <c r="F70">
        <f t="shared" si="8"/>
        <v>3252</v>
      </c>
      <c r="G70">
        <f t="shared" si="9"/>
        <v>1.9127999999909662E-2</v>
      </c>
      <c r="L70">
        <f>+G70</f>
        <v>1.9127999999909662E-2</v>
      </c>
      <c r="O70">
        <f t="shared" ca="1" si="10"/>
        <v>-1.1910163855460756E-4</v>
      </c>
      <c r="Q70" s="2">
        <f t="shared" si="11"/>
        <v>28871.945</v>
      </c>
      <c r="AA70">
        <v>7</v>
      </c>
      <c r="AB70" t="s">
        <v>27</v>
      </c>
      <c r="AD70" t="s">
        <v>29</v>
      </c>
    </row>
    <row r="71" spans="1:30" x14ac:dyDescent="0.2">
      <c r="A71" t="s">
        <v>31</v>
      </c>
      <c r="C71" s="12">
        <v>43955.294000000002</v>
      </c>
      <c r="D71" s="12"/>
      <c r="E71">
        <f t="shared" si="7"/>
        <v>3279.0178497052812</v>
      </c>
      <c r="F71">
        <f t="shared" si="8"/>
        <v>3279</v>
      </c>
      <c r="G71">
        <f t="shared" si="9"/>
        <v>4.2856000000028871E-2</v>
      </c>
      <c r="L71">
        <f>+G71</f>
        <v>4.2856000000028871E-2</v>
      </c>
      <c r="O71">
        <f t="shared" ca="1" si="10"/>
        <v>-1.4187935862852849E-4</v>
      </c>
      <c r="Q71" s="2">
        <f t="shared" si="11"/>
        <v>28936.794000000002</v>
      </c>
      <c r="AA71">
        <v>6</v>
      </c>
      <c r="AB71" t="s">
        <v>27</v>
      </c>
      <c r="AD71" t="s">
        <v>29</v>
      </c>
    </row>
    <row r="72" spans="1:30" x14ac:dyDescent="0.2">
      <c r="A72" t="s">
        <v>32</v>
      </c>
      <c r="C72" s="12">
        <v>44082.521999999997</v>
      </c>
      <c r="D72" s="12"/>
      <c r="E72">
        <f t="shared" si="7"/>
        <v>3332.0088498818773</v>
      </c>
      <c r="F72">
        <f t="shared" si="8"/>
        <v>3332</v>
      </c>
      <c r="G72">
        <f t="shared" si="9"/>
        <v>2.124799999728566E-2</v>
      </c>
      <c r="L72">
        <f>+G72</f>
        <v>2.124799999728566E-2</v>
      </c>
      <c r="O72">
        <f t="shared" ca="1" si="10"/>
        <v>-1.8659117951437282E-4</v>
      </c>
      <c r="Q72" s="2">
        <f t="shared" si="11"/>
        <v>29064.021999999997</v>
      </c>
      <c r="AA72">
        <v>6</v>
      </c>
      <c r="AB72" t="s">
        <v>27</v>
      </c>
      <c r="AD72" t="s">
        <v>29</v>
      </c>
    </row>
    <row r="73" spans="1:30" x14ac:dyDescent="0.2">
      <c r="A73" t="s">
        <v>33</v>
      </c>
      <c r="C73" s="12">
        <v>44118.52</v>
      </c>
      <c r="D73" s="12"/>
      <c r="E73">
        <f t="shared" si="7"/>
        <v>3347.0021691540273</v>
      </c>
      <c r="F73">
        <f t="shared" si="8"/>
        <v>3347</v>
      </c>
      <c r="G73">
        <f t="shared" si="9"/>
        <v>5.2079999950365163E-3</v>
      </c>
      <c r="L73">
        <f>+G73</f>
        <v>5.2079999950365163E-3</v>
      </c>
      <c r="O73">
        <f t="shared" ca="1" si="10"/>
        <v>-1.992454684443287E-4</v>
      </c>
      <c r="Q73" s="2">
        <f t="shared" si="11"/>
        <v>29100.019999999997</v>
      </c>
      <c r="AA73">
        <v>7</v>
      </c>
      <c r="AB73" t="s">
        <v>27</v>
      </c>
      <c r="AD73" t="s">
        <v>29</v>
      </c>
    </row>
    <row r="74" spans="1:30" x14ac:dyDescent="0.2">
      <c r="A74" t="s">
        <v>34</v>
      </c>
      <c r="C74" s="12">
        <v>44555.489000000001</v>
      </c>
      <c r="D74" s="12"/>
      <c r="E74">
        <f t="shared" si="7"/>
        <v>3529.0016060403104</v>
      </c>
      <c r="F74">
        <f t="shared" si="8"/>
        <v>3529</v>
      </c>
      <c r="G74">
        <f t="shared" si="9"/>
        <v>3.8559999957215041E-3</v>
      </c>
      <c r="L74">
        <f>+G74</f>
        <v>3.8559999957215041E-3</v>
      </c>
      <c r="O74">
        <f t="shared" ca="1" si="10"/>
        <v>-3.527841741277943E-4</v>
      </c>
      <c r="Q74" s="2">
        <f t="shared" si="11"/>
        <v>29536.989000000001</v>
      </c>
      <c r="AA74">
        <v>5</v>
      </c>
      <c r="AB74" t="s">
        <v>27</v>
      </c>
      <c r="AD74" t="s">
        <v>29</v>
      </c>
    </row>
    <row r="75" spans="1:30" x14ac:dyDescent="0.2">
      <c r="A75" t="s">
        <v>35</v>
      </c>
      <c r="C75" s="12">
        <v>44644.332000000002</v>
      </c>
      <c r="D75" s="12"/>
      <c r="E75">
        <f t="shared" si="7"/>
        <v>3566.0050913477075</v>
      </c>
      <c r="F75">
        <f t="shared" si="8"/>
        <v>3566</v>
      </c>
      <c r="G75">
        <f t="shared" si="9"/>
        <v>1.2223999998241197E-2</v>
      </c>
      <c r="L75">
        <f>+G75</f>
        <v>1.2223999998241197E-2</v>
      </c>
      <c r="O75">
        <f t="shared" ca="1" si="10"/>
        <v>-3.8399808682168567E-4</v>
      </c>
      <c r="Q75" s="2">
        <f t="shared" si="11"/>
        <v>29625.832000000002</v>
      </c>
      <c r="AA75">
        <v>6</v>
      </c>
      <c r="AB75" t="s">
        <v>27</v>
      </c>
      <c r="AD75" t="s">
        <v>29</v>
      </c>
    </row>
    <row r="76" spans="1:30" x14ac:dyDescent="0.2">
      <c r="A76" t="s">
        <v>36</v>
      </c>
      <c r="C76" s="12">
        <v>44973.262000000002</v>
      </c>
      <c r="D76" s="12"/>
      <c r="E76">
        <f t="shared" si="7"/>
        <v>3703.0058277271864</v>
      </c>
      <c r="F76">
        <f t="shared" si="8"/>
        <v>3703</v>
      </c>
      <c r="G76">
        <f t="shared" si="9"/>
        <v>1.3992000000143889E-2</v>
      </c>
      <c r="L76">
        <f>+G76</f>
        <v>1.3992000000143889E-2</v>
      </c>
      <c r="O76">
        <f t="shared" ca="1" si="10"/>
        <v>-4.9957392571528319E-4</v>
      </c>
      <c r="Q76" s="2">
        <f t="shared" si="11"/>
        <v>29954.762000000002</v>
      </c>
      <c r="AA76">
        <v>6</v>
      </c>
      <c r="AB76" t="s">
        <v>27</v>
      </c>
      <c r="AD76" t="s">
        <v>29</v>
      </c>
    </row>
    <row r="77" spans="1:30" x14ac:dyDescent="0.2">
      <c r="A77" t="s">
        <v>37</v>
      </c>
      <c r="C77" s="12">
        <v>45172.527000000002</v>
      </c>
      <c r="D77" s="12"/>
      <c r="E77">
        <f t="shared" si="7"/>
        <v>3786.0005431215154</v>
      </c>
      <c r="F77">
        <f t="shared" si="8"/>
        <v>3786</v>
      </c>
      <c r="G77">
        <f t="shared" si="9"/>
        <v>1.3039999976172112E-3</v>
      </c>
      <c r="L77">
        <f>+G77</f>
        <v>1.3039999976172112E-3</v>
      </c>
      <c r="O77">
        <f t="shared" ca="1" si="10"/>
        <v>-5.6959432446103972E-4</v>
      </c>
      <c r="Q77" s="2">
        <f t="shared" si="11"/>
        <v>30154.027000000002</v>
      </c>
      <c r="AA77">
        <v>6</v>
      </c>
      <c r="AB77" t="s">
        <v>27</v>
      </c>
      <c r="AD77" t="s">
        <v>29</v>
      </c>
    </row>
    <row r="78" spans="1:30" x14ac:dyDescent="0.2">
      <c r="A78" t="s">
        <v>39</v>
      </c>
      <c r="C78" s="12">
        <v>45196.506000000001</v>
      </c>
      <c r="D78" s="12"/>
      <c r="E78">
        <f t="shared" si="7"/>
        <v>3795.9878980530921</v>
      </c>
      <c r="F78">
        <f t="shared" si="8"/>
        <v>3796</v>
      </c>
      <c r="G78">
        <f t="shared" si="9"/>
        <v>-2.9055999999400228E-2</v>
      </c>
      <c r="L78">
        <f>+G78</f>
        <v>-2.9055999999400228E-2</v>
      </c>
      <c r="O78">
        <f t="shared" ca="1" si="10"/>
        <v>-5.7803051708101016E-4</v>
      </c>
      <c r="Q78" s="2">
        <f t="shared" si="11"/>
        <v>30178.006000000001</v>
      </c>
      <c r="AA78">
        <v>8</v>
      </c>
      <c r="AB78" t="s">
        <v>38</v>
      </c>
      <c r="AD78" t="s">
        <v>29</v>
      </c>
    </row>
    <row r="79" spans="1:30" x14ac:dyDescent="0.2">
      <c r="A79" t="s">
        <v>39</v>
      </c>
      <c r="C79" s="12">
        <v>45196.519</v>
      </c>
      <c r="D79" s="12"/>
      <c r="E79">
        <f t="shared" si="7"/>
        <v>3795.9933126080819</v>
      </c>
      <c r="F79">
        <f t="shared" si="8"/>
        <v>3796</v>
      </c>
      <c r="G79">
        <f t="shared" si="9"/>
        <v>-1.6056000000389758E-2</v>
      </c>
      <c r="L79">
        <f>+G79</f>
        <v>-1.6056000000389758E-2</v>
      </c>
      <c r="O79">
        <f t="shared" ca="1" si="10"/>
        <v>-5.7803051708101016E-4</v>
      </c>
      <c r="Q79" s="2">
        <f t="shared" si="11"/>
        <v>30178.019</v>
      </c>
      <c r="AA79">
        <v>8</v>
      </c>
      <c r="AB79" t="s">
        <v>27</v>
      </c>
      <c r="AD79" t="s">
        <v>29</v>
      </c>
    </row>
    <row r="80" spans="1:30" x14ac:dyDescent="0.2">
      <c r="A80" t="s">
        <v>39</v>
      </c>
      <c r="C80" s="12">
        <v>45232.55</v>
      </c>
      <c r="D80" s="12"/>
      <c r="E80">
        <f t="shared" si="7"/>
        <v>3811.0003765198239</v>
      </c>
      <c r="F80">
        <f t="shared" si="8"/>
        <v>3811</v>
      </c>
      <c r="G80">
        <f t="shared" si="9"/>
        <v>9.0400000044610351E-4</v>
      </c>
      <c r="L80">
        <f>+G80</f>
        <v>9.0400000044610351E-4</v>
      </c>
      <c r="O80">
        <f t="shared" ca="1" si="10"/>
        <v>-5.9068480601096648E-4</v>
      </c>
      <c r="Q80" s="2">
        <f t="shared" si="11"/>
        <v>30214.050000000003</v>
      </c>
      <c r="AA80">
        <v>7</v>
      </c>
      <c r="AB80" t="s">
        <v>27</v>
      </c>
      <c r="AD80" t="s">
        <v>29</v>
      </c>
    </row>
    <row r="81" spans="1:30" x14ac:dyDescent="0.2">
      <c r="A81" t="s">
        <v>40</v>
      </c>
      <c r="C81" s="12">
        <v>45285.347999999998</v>
      </c>
      <c r="D81" s="12"/>
      <c r="E81">
        <f t="shared" si="7"/>
        <v>3832.9909668562573</v>
      </c>
      <c r="F81">
        <f t="shared" si="8"/>
        <v>3833</v>
      </c>
      <c r="G81">
        <f t="shared" si="9"/>
        <v>-2.1688000007998198E-2</v>
      </c>
      <c r="L81">
        <f>+G81</f>
        <v>-2.1688000007998198E-2</v>
      </c>
      <c r="O81">
        <f t="shared" ca="1" si="10"/>
        <v>-6.0924442977490154E-4</v>
      </c>
      <c r="Q81" s="2">
        <f t="shared" si="11"/>
        <v>30266.847999999998</v>
      </c>
      <c r="AA81">
        <v>6</v>
      </c>
      <c r="AB81" t="s">
        <v>27</v>
      </c>
      <c r="AD81" t="s">
        <v>29</v>
      </c>
    </row>
    <row r="82" spans="1:30" x14ac:dyDescent="0.2">
      <c r="A82" t="s">
        <v>40</v>
      </c>
      <c r="C82" s="12">
        <v>45333.372000000003</v>
      </c>
      <c r="D82" s="12"/>
      <c r="E82">
        <f t="shared" si="7"/>
        <v>3852.9931659985941</v>
      </c>
      <c r="F82">
        <f t="shared" si="8"/>
        <v>3853</v>
      </c>
      <c r="G82">
        <f t="shared" si="9"/>
        <v>-1.6407999995863065E-2</v>
      </c>
      <c r="L82">
        <f>+G82</f>
        <v>-1.6407999995863065E-2</v>
      </c>
      <c r="O82">
        <f t="shared" ca="1" si="10"/>
        <v>-6.2611681501484285E-4</v>
      </c>
      <c r="Q82" s="2">
        <f t="shared" si="11"/>
        <v>30314.872000000003</v>
      </c>
      <c r="AA82">
        <v>7</v>
      </c>
      <c r="AB82" t="s">
        <v>27</v>
      </c>
      <c r="AD82" t="s">
        <v>29</v>
      </c>
    </row>
    <row r="83" spans="1:30" x14ac:dyDescent="0.2">
      <c r="A83" t="s">
        <v>40</v>
      </c>
      <c r="C83" s="12">
        <v>45345.406000000003</v>
      </c>
      <c r="D83" s="12"/>
      <c r="E83">
        <f t="shared" si="7"/>
        <v>3858.005377902618</v>
      </c>
      <c r="F83">
        <f t="shared" si="8"/>
        <v>3858</v>
      </c>
      <c r="G83">
        <f t="shared" si="9"/>
        <v>1.2911999998323154E-2</v>
      </c>
      <c r="L83">
        <f>+G83</f>
        <v>1.2911999998323154E-2</v>
      </c>
      <c r="O83">
        <f t="shared" ca="1" si="10"/>
        <v>-6.3033491132482829E-4</v>
      </c>
      <c r="Q83" s="2">
        <f t="shared" si="11"/>
        <v>30326.906000000003</v>
      </c>
      <c r="AA83">
        <v>7</v>
      </c>
      <c r="AB83" t="s">
        <v>27</v>
      </c>
      <c r="AD83" t="s">
        <v>29</v>
      </c>
    </row>
    <row r="84" spans="1:30" x14ac:dyDescent="0.2">
      <c r="A84" t="s">
        <v>41</v>
      </c>
      <c r="C84" s="12">
        <v>45998.421999999999</v>
      </c>
      <c r="D84" s="12"/>
      <c r="E84">
        <f t="shared" si="7"/>
        <v>4129.9893041713713</v>
      </c>
      <c r="F84">
        <f t="shared" si="8"/>
        <v>4130</v>
      </c>
      <c r="G84">
        <f t="shared" si="9"/>
        <v>-2.5680000006104819E-2</v>
      </c>
      <c r="L84">
        <f>+G84</f>
        <v>-2.5680000006104819E-2</v>
      </c>
      <c r="O84">
        <f t="shared" ca="1" si="10"/>
        <v>-8.5979935058802959E-4</v>
      </c>
      <c r="Q84" s="2">
        <f t="shared" si="11"/>
        <v>30979.921999999999</v>
      </c>
      <c r="AA84">
        <v>7</v>
      </c>
      <c r="AB84" t="s">
        <v>27</v>
      </c>
      <c r="AD84" t="s">
        <v>29</v>
      </c>
    </row>
    <row r="85" spans="1:30" x14ac:dyDescent="0.2">
      <c r="A85" s="31" t="s">
        <v>280</v>
      </c>
      <c r="B85" s="32" t="s">
        <v>46</v>
      </c>
      <c r="C85" s="33">
        <v>47542.250999999997</v>
      </c>
      <c r="D85" s="9"/>
      <c r="E85">
        <f t="shared" ref="E85:E97" si="12">+(C85-C$7)/C$8</f>
        <v>4773.0006130942238</v>
      </c>
      <c r="F85">
        <f t="shared" ref="F85:F97" si="13">ROUND(2*E85,0)/2</f>
        <v>4773</v>
      </c>
      <c r="G85">
        <f t="shared" ref="G85:G97" si="14">+C85-(C$7+F85*C$8)</f>
        <v>1.4719999962835573E-3</v>
      </c>
      <c r="L85">
        <f>+G85</f>
        <v>1.4719999962835573E-3</v>
      </c>
      <c r="O85">
        <f t="shared" ref="O85:O97" ca="1" si="15">+C$11+C$12*$F85</f>
        <v>-1.4022465360521413E-3</v>
      </c>
      <c r="Q85" s="2">
        <f t="shared" ref="Q85:Q97" si="16">+C85-15018.5</f>
        <v>32523.750999999997</v>
      </c>
    </row>
    <row r="86" spans="1:30" x14ac:dyDescent="0.2">
      <c r="A86" t="s">
        <v>43</v>
      </c>
      <c r="C86" s="12">
        <v>50812.321000000004</v>
      </c>
      <c r="D86" s="12">
        <v>3.0000000000000001E-3</v>
      </c>
      <c r="E86">
        <f t="shared" si="12"/>
        <v>6134.9986005457877</v>
      </c>
      <c r="F86">
        <f t="shared" si="13"/>
        <v>6135</v>
      </c>
      <c r="G86">
        <f t="shared" si="14"/>
        <v>-3.3600000024307519E-3</v>
      </c>
      <c r="J86">
        <f>+G86</f>
        <v>-3.3600000024307519E-3</v>
      </c>
      <c r="O86">
        <f t="shared" ca="1" si="15"/>
        <v>-2.5512559708921424E-3</v>
      </c>
      <c r="Q86" s="2">
        <f t="shared" si="16"/>
        <v>35793.821000000004</v>
      </c>
      <c r="AA86">
        <v>8</v>
      </c>
      <c r="AB86" t="s">
        <v>42</v>
      </c>
    </row>
    <row r="87" spans="1:30" x14ac:dyDescent="0.2">
      <c r="A87" t="s">
        <v>47</v>
      </c>
      <c r="B87" s="4" t="s">
        <v>46</v>
      </c>
      <c r="C87" s="12">
        <v>51129.2428</v>
      </c>
      <c r="D87" s="12">
        <v>2.3999999999999998E-3</v>
      </c>
      <c r="E87">
        <f t="shared" si="12"/>
        <v>6266.9978708303752</v>
      </c>
      <c r="F87">
        <f t="shared" si="13"/>
        <v>6267</v>
      </c>
      <c r="G87">
        <f t="shared" si="14"/>
        <v>-5.1120000061928295E-3</v>
      </c>
      <c r="J87">
        <f>+G87</f>
        <v>-5.1120000061928295E-3</v>
      </c>
      <c r="O87">
        <f t="shared" ca="1" si="15"/>
        <v>-2.6626137134757553E-3</v>
      </c>
      <c r="Q87" s="2">
        <f t="shared" si="16"/>
        <v>36110.7428</v>
      </c>
    </row>
    <row r="88" spans="1:30" x14ac:dyDescent="0.2">
      <c r="A88" t="s">
        <v>45</v>
      </c>
      <c r="B88" s="4" t="s">
        <v>46</v>
      </c>
      <c r="C88" s="12">
        <v>51484.5821</v>
      </c>
      <c r="D88" s="12">
        <v>4.0000000000000001E-3</v>
      </c>
      <c r="E88">
        <f t="shared" si="12"/>
        <v>6414.9981923716405</v>
      </c>
      <c r="F88">
        <f t="shared" si="13"/>
        <v>6415</v>
      </c>
      <c r="G88">
        <f t="shared" si="14"/>
        <v>-4.3399999995017424E-3</v>
      </c>
      <c r="J88">
        <f>+G88</f>
        <v>-4.3399999995017424E-3</v>
      </c>
      <c r="O88">
        <f t="shared" ca="1" si="15"/>
        <v>-2.7874693642513208E-3</v>
      </c>
      <c r="Q88" s="2">
        <f t="shared" si="16"/>
        <v>36466.0821</v>
      </c>
    </row>
    <row r="89" spans="1:30" x14ac:dyDescent="0.2">
      <c r="A89" s="31" t="s">
        <v>299</v>
      </c>
      <c r="B89" s="32" t="s">
        <v>46</v>
      </c>
      <c r="C89" s="33">
        <v>51585.422200000001</v>
      </c>
      <c r="D89" s="9"/>
      <c r="E89">
        <f t="shared" si="12"/>
        <v>6456.9985205769735</v>
      </c>
      <c r="F89">
        <f t="shared" si="13"/>
        <v>6457</v>
      </c>
      <c r="G89">
        <f t="shared" si="14"/>
        <v>-3.5520000019459985E-3</v>
      </c>
      <c r="L89">
        <f>+G89</f>
        <v>-3.5520000019459985E-3</v>
      </c>
      <c r="O89">
        <f t="shared" ca="1" si="15"/>
        <v>-2.8229013732551968E-3</v>
      </c>
      <c r="Q89" s="2">
        <f t="shared" si="16"/>
        <v>36566.922200000001</v>
      </c>
    </row>
    <row r="90" spans="1:30" x14ac:dyDescent="0.2">
      <c r="A90" s="14" t="s">
        <v>59</v>
      </c>
      <c r="B90" s="15" t="s">
        <v>46</v>
      </c>
      <c r="C90" s="14">
        <v>51878.339269999997</v>
      </c>
      <c r="D90" s="14">
        <v>3.0000000000000001E-3</v>
      </c>
      <c r="E90">
        <f t="shared" si="12"/>
        <v>6578.9997192761466</v>
      </c>
      <c r="F90">
        <f t="shared" si="13"/>
        <v>6579</v>
      </c>
      <c r="G90">
        <f t="shared" si="14"/>
        <v>-6.7400000989437103E-4</v>
      </c>
      <c r="K90">
        <f>+G90</f>
        <v>-6.7400000989437103E-4</v>
      </c>
      <c r="O90">
        <f t="shared" ca="1" si="15"/>
        <v>-2.9258229232188388E-3</v>
      </c>
      <c r="Q90" s="2">
        <f t="shared" si="16"/>
        <v>36859.839269999997</v>
      </c>
    </row>
    <row r="91" spans="1:30" x14ac:dyDescent="0.2">
      <c r="A91" s="5" t="s">
        <v>48</v>
      </c>
      <c r="B91" s="6"/>
      <c r="C91" s="10">
        <v>51926.357400000001</v>
      </c>
      <c r="D91" s="13">
        <v>1.5E-3</v>
      </c>
      <c r="E91">
        <f t="shared" si="12"/>
        <v>6598.9994735386526</v>
      </c>
      <c r="F91">
        <f t="shared" si="13"/>
        <v>6599</v>
      </c>
      <c r="G91">
        <f t="shared" si="14"/>
        <v>-1.2639999986276962E-3</v>
      </c>
      <c r="K91">
        <f>+G91</f>
        <v>-1.2639999986276962E-3</v>
      </c>
      <c r="O91">
        <f t="shared" ca="1" si="15"/>
        <v>-2.9426953084587806E-3</v>
      </c>
      <c r="Q91" s="2">
        <f t="shared" si="16"/>
        <v>36907.857400000001</v>
      </c>
    </row>
    <row r="92" spans="1:30" x14ac:dyDescent="0.2">
      <c r="A92" s="7" t="s">
        <v>49</v>
      </c>
      <c r="B92" s="8"/>
      <c r="C92" s="10">
        <v>52903.536999999997</v>
      </c>
      <c r="D92" s="10">
        <v>8.0000000000000004E-4</v>
      </c>
      <c r="E92">
        <f t="shared" si="12"/>
        <v>7005.9989104249316</v>
      </c>
      <c r="F92">
        <f t="shared" si="13"/>
        <v>7006</v>
      </c>
      <c r="G92">
        <f t="shared" si="14"/>
        <v>-2.616000005218666E-3</v>
      </c>
      <c r="K92">
        <f>+G92</f>
        <v>-2.616000005218666E-3</v>
      </c>
      <c r="O92">
        <f t="shared" ca="1" si="15"/>
        <v>-3.2860483480915848E-3</v>
      </c>
      <c r="Q92" s="2">
        <f t="shared" si="16"/>
        <v>37885.036999999997</v>
      </c>
    </row>
    <row r="93" spans="1:30" x14ac:dyDescent="0.2">
      <c r="A93" s="16" t="s">
        <v>65</v>
      </c>
      <c r="B93" s="17" t="s">
        <v>46</v>
      </c>
      <c r="C93" s="16">
        <v>53256.478000000003</v>
      </c>
      <c r="D93" s="16">
        <v>5.0000000000000001E-3</v>
      </c>
      <c r="E93">
        <f t="shared" si="12"/>
        <v>7153.00032987135</v>
      </c>
      <c r="F93">
        <f t="shared" si="13"/>
        <v>7153</v>
      </c>
      <c r="G93">
        <f t="shared" si="14"/>
        <v>7.9199999890988693E-4</v>
      </c>
      <c r="K93">
        <f>+G93</f>
        <v>7.9199999890988693E-4</v>
      </c>
      <c r="O93">
        <f t="shared" ca="1" si="15"/>
        <v>-3.4100603796051532E-3</v>
      </c>
      <c r="Q93" s="2">
        <f t="shared" si="16"/>
        <v>38237.978000000003</v>
      </c>
    </row>
    <row r="94" spans="1:30" x14ac:dyDescent="0.2">
      <c r="A94" s="16" t="s">
        <v>62</v>
      </c>
      <c r="B94" s="17" t="s">
        <v>46</v>
      </c>
      <c r="C94" s="16">
        <v>54831.489200000004</v>
      </c>
      <c r="D94" s="16">
        <v>2.0000000000000001E-4</v>
      </c>
      <c r="E94">
        <f t="shared" si="12"/>
        <v>7808.9991569954382</v>
      </c>
      <c r="F94">
        <f t="shared" si="13"/>
        <v>7809</v>
      </c>
      <c r="G94">
        <f t="shared" si="14"/>
        <v>-2.0240000012563542E-3</v>
      </c>
      <c r="K94">
        <f>+G94</f>
        <v>-2.0240000012563542E-3</v>
      </c>
      <c r="O94">
        <f t="shared" ca="1" si="15"/>
        <v>-3.963474615475227E-3</v>
      </c>
      <c r="Q94" s="2">
        <f t="shared" si="16"/>
        <v>39812.989200000004</v>
      </c>
    </row>
    <row r="95" spans="1:30" x14ac:dyDescent="0.2">
      <c r="A95" s="16" t="s">
        <v>62</v>
      </c>
      <c r="B95" s="17" t="s">
        <v>63</v>
      </c>
      <c r="C95" s="16">
        <v>54842.300600000002</v>
      </c>
      <c r="D95" s="16">
        <v>4.0000000000000001E-3</v>
      </c>
      <c r="E95">
        <f t="shared" si="12"/>
        <v>7813.5021508278433</v>
      </c>
      <c r="F95">
        <f t="shared" si="13"/>
        <v>7813.5</v>
      </c>
      <c r="G95">
        <f t="shared" si="14"/>
        <v>5.1640000019688159E-3</v>
      </c>
      <c r="K95">
        <f>+G95</f>
        <v>5.1640000019688159E-3</v>
      </c>
      <c r="O95">
        <f t="shared" ca="1" si="15"/>
        <v>-3.9672709021542144E-3</v>
      </c>
      <c r="Q95" s="2">
        <f t="shared" si="16"/>
        <v>39823.800600000002</v>
      </c>
    </row>
    <row r="96" spans="1:30" x14ac:dyDescent="0.2">
      <c r="A96" s="31" t="s">
        <v>335</v>
      </c>
      <c r="B96" s="32" t="s">
        <v>46</v>
      </c>
      <c r="C96" s="33">
        <v>55155.612800000003</v>
      </c>
      <c r="D96" s="9"/>
      <c r="E96">
        <f t="shared" si="12"/>
        <v>7943.9980074437635</v>
      </c>
      <c r="F96">
        <f t="shared" si="13"/>
        <v>7944</v>
      </c>
      <c r="G96">
        <f t="shared" si="14"/>
        <v>-4.7840000042924657E-3</v>
      </c>
      <c r="L96">
        <f>+G96</f>
        <v>-4.7840000042924657E-3</v>
      </c>
      <c r="O96">
        <f t="shared" ca="1" si="15"/>
        <v>-4.0773632158448312E-3</v>
      </c>
      <c r="Q96" s="2">
        <f t="shared" si="16"/>
        <v>40137.112800000003</v>
      </c>
    </row>
    <row r="97" spans="1:17" x14ac:dyDescent="0.2">
      <c r="A97" s="16" t="s">
        <v>64</v>
      </c>
      <c r="B97" s="17" t="s">
        <v>46</v>
      </c>
      <c r="C97" s="16">
        <v>55851.875999999997</v>
      </c>
      <c r="D97" s="16">
        <v>4.0000000000000002E-4</v>
      </c>
      <c r="E97">
        <f t="shared" si="12"/>
        <v>8233.9945754489054</v>
      </c>
      <c r="F97">
        <f t="shared" si="13"/>
        <v>8234</v>
      </c>
      <c r="G97">
        <f t="shared" si="14"/>
        <v>-1.3024000007135328E-2</v>
      </c>
      <c r="K97">
        <f>+G97</f>
        <v>-1.3024000007135328E-2</v>
      </c>
      <c r="O97">
        <f t="shared" ca="1" si="15"/>
        <v>-4.3220128018239797E-3</v>
      </c>
      <c r="Q97" s="2">
        <f t="shared" si="16"/>
        <v>40833.375999999997</v>
      </c>
    </row>
    <row r="98" spans="1:17" x14ac:dyDescent="0.2">
      <c r="C98" s="9"/>
      <c r="D98" s="9"/>
    </row>
    <row r="99" spans="1:17" x14ac:dyDescent="0.2">
      <c r="C99" s="9"/>
      <c r="D99" s="9"/>
    </row>
    <row r="100" spans="1:17" x14ac:dyDescent="0.2">
      <c r="C100" s="9"/>
      <c r="D100" s="9"/>
    </row>
    <row r="101" spans="1:17" x14ac:dyDescent="0.2">
      <c r="C101" s="9"/>
      <c r="D101" s="9"/>
    </row>
    <row r="102" spans="1:17" x14ac:dyDescent="0.2">
      <c r="C102" s="9"/>
      <c r="D102" s="9"/>
    </row>
    <row r="103" spans="1:17" x14ac:dyDescent="0.2">
      <c r="C103" s="9"/>
      <c r="D103" s="9"/>
    </row>
    <row r="104" spans="1:17" x14ac:dyDescent="0.2">
      <c r="C104" s="9"/>
      <c r="D104" s="9"/>
    </row>
    <row r="105" spans="1:17" x14ac:dyDescent="0.2">
      <c r="C105" s="9"/>
      <c r="D105" s="9"/>
    </row>
    <row r="106" spans="1:17" x14ac:dyDescent="0.2">
      <c r="C106" s="9"/>
      <c r="D106" s="9"/>
    </row>
    <row r="107" spans="1:17" x14ac:dyDescent="0.2">
      <c r="C107" s="9"/>
      <c r="D107" s="9"/>
    </row>
    <row r="108" spans="1:17" x14ac:dyDescent="0.2">
      <c r="C108" s="9"/>
      <c r="D108" s="9"/>
    </row>
    <row r="109" spans="1:17" x14ac:dyDescent="0.2">
      <c r="C109" s="9"/>
      <c r="D109" s="9"/>
    </row>
    <row r="110" spans="1:17" x14ac:dyDescent="0.2">
      <c r="C110" s="9"/>
      <c r="D110" s="9"/>
    </row>
    <row r="111" spans="1:17" x14ac:dyDescent="0.2">
      <c r="C111" s="9"/>
      <c r="D111" s="9"/>
    </row>
    <row r="112" spans="1:17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opLeftCell="A47" workbookViewId="0">
      <selection activeCell="A38" sqref="A38:C86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18" t="s">
        <v>66</v>
      </c>
      <c r="I1" s="19" t="s">
        <v>67</v>
      </c>
      <c r="J1" s="20" t="s">
        <v>68</v>
      </c>
    </row>
    <row r="2" spans="1:16" x14ac:dyDescent="0.2">
      <c r="I2" s="21" t="s">
        <v>69</v>
      </c>
      <c r="J2" s="22" t="s">
        <v>70</v>
      </c>
    </row>
    <row r="3" spans="1:16" x14ac:dyDescent="0.2">
      <c r="A3" s="23" t="s">
        <v>71</v>
      </c>
      <c r="I3" s="21" t="s">
        <v>72</v>
      </c>
      <c r="J3" s="22" t="s">
        <v>73</v>
      </c>
    </row>
    <row r="4" spans="1:16" x14ac:dyDescent="0.2">
      <c r="I4" s="21" t="s">
        <v>74</v>
      </c>
      <c r="J4" s="22" t="s">
        <v>73</v>
      </c>
    </row>
    <row r="5" spans="1:16" ht="13.5" thickBot="1" x14ac:dyDescent="0.25">
      <c r="I5" s="24" t="s">
        <v>75</v>
      </c>
      <c r="J5" s="25" t="s">
        <v>76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 BBS 39 </v>
      </c>
      <c r="B11" s="3" t="str">
        <f t="shared" ref="B11:B42" si="1">IF(H11=INT(H11),"I","II")</f>
        <v>I</v>
      </c>
      <c r="C11" s="9">
        <f t="shared" ref="C11:C42" si="2">1*G11</f>
        <v>43777.587</v>
      </c>
      <c r="D11" s="11" t="str">
        <f t="shared" ref="D11:D42" si="3">VLOOKUP(F11,I$1:J$5,2,FALSE)</f>
        <v>vis</v>
      </c>
      <c r="E11" s="26">
        <f>VLOOKUP(C11,Active!C$21:E$973,3,FALSE)</f>
        <v>3205.0021325016564</v>
      </c>
      <c r="F11" s="3" t="s">
        <v>75</v>
      </c>
      <c r="G11" s="11" t="str">
        <f t="shared" ref="G11:G42" si="4">MID(I11,3,LEN(I11)-3)</f>
        <v>43777.587</v>
      </c>
      <c r="H11" s="9">
        <f t="shared" ref="H11:H42" si="5">1*K11</f>
        <v>3205</v>
      </c>
      <c r="I11" s="27" t="s">
        <v>218</v>
      </c>
      <c r="J11" s="28" t="s">
        <v>219</v>
      </c>
      <c r="K11" s="27">
        <v>3205</v>
      </c>
      <c r="L11" s="27" t="s">
        <v>220</v>
      </c>
      <c r="M11" s="28" t="s">
        <v>221</v>
      </c>
      <c r="N11" s="28"/>
      <c r="O11" s="29" t="s">
        <v>222</v>
      </c>
      <c r="P11" s="29" t="s">
        <v>223</v>
      </c>
    </row>
    <row r="12" spans="1:16" ht="12.75" customHeight="1" thickBot="1" x14ac:dyDescent="0.25">
      <c r="A12" s="9" t="str">
        <f t="shared" si="0"/>
        <v> BBS 39 </v>
      </c>
      <c r="B12" s="3" t="str">
        <f t="shared" si="1"/>
        <v>I</v>
      </c>
      <c r="C12" s="9">
        <f t="shared" si="2"/>
        <v>43782.402999999998</v>
      </c>
      <c r="D12" s="11" t="str">
        <f t="shared" si="3"/>
        <v>vis</v>
      </c>
      <c r="E12" s="26">
        <f>VLOOKUP(C12,Active!C$21:E$973,3,FALSE)</f>
        <v>3207.0080168734175</v>
      </c>
      <c r="F12" s="3" t="s">
        <v>75</v>
      </c>
      <c r="G12" s="11" t="str">
        <f t="shared" si="4"/>
        <v>43782.403</v>
      </c>
      <c r="H12" s="9">
        <f t="shared" si="5"/>
        <v>3207</v>
      </c>
      <c r="I12" s="27" t="s">
        <v>224</v>
      </c>
      <c r="J12" s="28" t="s">
        <v>225</v>
      </c>
      <c r="K12" s="27">
        <v>3207</v>
      </c>
      <c r="L12" s="27" t="s">
        <v>130</v>
      </c>
      <c r="M12" s="28" t="s">
        <v>221</v>
      </c>
      <c r="N12" s="28"/>
      <c r="O12" s="29" t="s">
        <v>222</v>
      </c>
      <c r="P12" s="29" t="s">
        <v>223</v>
      </c>
    </row>
    <row r="13" spans="1:16" ht="12.75" customHeight="1" thickBot="1" x14ac:dyDescent="0.25">
      <c r="A13" s="9" t="str">
        <f t="shared" si="0"/>
        <v> BBS 41 </v>
      </c>
      <c r="B13" s="3" t="str">
        <f t="shared" si="1"/>
        <v>I</v>
      </c>
      <c r="C13" s="9">
        <f t="shared" si="2"/>
        <v>43890.445</v>
      </c>
      <c r="D13" s="11" t="str">
        <f t="shared" si="3"/>
        <v>vis</v>
      </c>
      <c r="E13" s="26">
        <f>VLOOKUP(C13,Active!C$21:E$973,3,FALSE)</f>
        <v>3252.0079668929106</v>
      </c>
      <c r="F13" s="3" t="s">
        <v>75</v>
      </c>
      <c r="G13" s="11" t="str">
        <f t="shared" si="4"/>
        <v>43890.445</v>
      </c>
      <c r="H13" s="9">
        <f t="shared" si="5"/>
        <v>3252</v>
      </c>
      <c r="I13" s="27" t="s">
        <v>226</v>
      </c>
      <c r="J13" s="28" t="s">
        <v>227</v>
      </c>
      <c r="K13" s="27">
        <v>3252</v>
      </c>
      <c r="L13" s="27" t="s">
        <v>130</v>
      </c>
      <c r="M13" s="28" t="s">
        <v>221</v>
      </c>
      <c r="N13" s="28"/>
      <c r="O13" s="29" t="s">
        <v>222</v>
      </c>
      <c r="P13" s="29" t="s">
        <v>228</v>
      </c>
    </row>
    <row r="14" spans="1:16" ht="12.75" customHeight="1" thickBot="1" x14ac:dyDescent="0.25">
      <c r="A14" s="9" t="str">
        <f t="shared" si="0"/>
        <v> BBS 42 </v>
      </c>
      <c r="B14" s="3" t="str">
        <f t="shared" si="1"/>
        <v>I</v>
      </c>
      <c r="C14" s="9">
        <f t="shared" si="2"/>
        <v>43955.294000000002</v>
      </c>
      <c r="D14" s="11" t="str">
        <f t="shared" si="3"/>
        <v>vis</v>
      </c>
      <c r="E14" s="26">
        <f>VLOOKUP(C14,Active!C$21:E$973,3,FALSE)</f>
        <v>3279.0178497052812</v>
      </c>
      <c r="F14" s="3" t="s">
        <v>75</v>
      </c>
      <c r="G14" s="11" t="str">
        <f t="shared" si="4"/>
        <v>43955.294</v>
      </c>
      <c r="H14" s="9">
        <f t="shared" si="5"/>
        <v>3279</v>
      </c>
      <c r="I14" s="27" t="s">
        <v>229</v>
      </c>
      <c r="J14" s="28" t="s">
        <v>230</v>
      </c>
      <c r="K14" s="27">
        <v>3279</v>
      </c>
      <c r="L14" s="27" t="s">
        <v>231</v>
      </c>
      <c r="M14" s="28" t="s">
        <v>221</v>
      </c>
      <c r="N14" s="28"/>
      <c r="O14" s="29" t="s">
        <v>222</v>
      </c>
      <c r="P14" s="29" t="s">
        <v>232</v>
      </c>
    </row>
    <row r="15" spans="1:16" ht="12.75" customHeight="1" thickBot="1" x14ac:dyDescent="0.25">
      <c r="A15" s="9" t="str">
        <f t="shared" si="0"/>
        <v> BBS 44 </v>
      </c>
      <c r="B15" s="3" t="str">
        <f t="shared" si="1"/>
        <v>I</v>
      </c>
      <c r="C15" s="9">
        <f t="shared" si="2"/>
        <v>44082.521999999997</v>
      </c>
      <c r="D15" s="11" t="str">
        <f t="shared" si="3"/>
        <v>vis</v>
      </c>
      <c r="E15" s="26">
        <f>VLOOKUP(C15,Active!C$21:E$973,3,FALSE)</f>
        <v>3332.0088498818773</v>
      </c>
      <c r="F15" s="3" t="s">
        <v>75</v>
      </c>
      <c r="G15" s="11" t="str">
        <f t="shared" si="4"/>
        <v>44082.522</v>
      </c>
      <c r="H15" s="9">
        <f t="shared" si="5"/>
        <v>3332</v>
      </c>
      <c r="I15" s="27" t="s">
        <v>233</v>
      </c>
      <c r="J15" s="28" t="s">
        <v>234</v>
      </c>
      <c r="K15" s="27">
        <v>3332</v>
      </c>
      <c r="L15" s="27" t="s">
        <v>235</v>
      </c>
      <c r="M15" s="28" t="s">
        <v>221</v>
      </c>
      <c r="N15" s="28"/>
      <c r="O15" s="29" t="s">
        <v>222</v>
      </c>
      <c r="P15" s="29" t="s">
        <v>236</v>
      </c>
    </row>
    <row r="16" spans="1:16" ht="12.75" customHeight="1" thickBot="1" x14ac:dyDescent="0.25">
      <c r="A16" s="9" t="str">
        <f t="shared" si="0"/>
        <v> BBS 45 </v>
      </c>
      <c r="B16" s="3" t="str">
        <f t="shared" si="1"/>
        <v>I</v>
      </c>
      <c r="C16" s="9">
        <f t="shared" si="2"/>
        <v>44118.52</v>
      </c>
      <c r="D16" s="11" t="str">
        <f t="shared" si="3"/>
        <v>vis</v>
      </c>
      <c r="E16" s="26">
        <f>VLOOKUP(C16,Active!C$21:E$973,3,FALSE)</f>
        <v>3347.0021691540273</v>
      </c>
      <c r="F16" s="3" t="s">
        <v>75</v>
      </c>
      <c r="G16" s="11" t="str">
        <f t="shared" si="4"/>
        <v>44118.520</v>
      </c>
      <c r="H16" s="9">
        <f t="shared" si="5"/>
        <v>3347</v>
      </c>
      <c r="I16" s="27" t="s">
        <v>237</v>
      </c>
      <c r="J16" s="28" t="s">
        <v>238</v>
      </c>
      <c r="K16" s="27">
        <v>3347</v>
      </c>
      <c r="L16" s="27" t="s">
        <v>220</v>
      </c>
      <c r="M16" s="28" t="s">
        <v>221</v>
      </c>
      <c r="N16" s="28"/>
      <c r="O16" s="29" t="s">
        <v>222</v>
      </c>
      <c r="P16" s="29" t="s">
        <v>239</v>
      </c>
    </row>
    <row r="17" spans="1:16" ht="12.75" customHeight="1" thickBot="1" x14ac:dyDescent="0.25">
      <c r="A17" s="9" t="str">
        <f t="shared" si="0"/>
        <v> BBS 51 </v>
      </c>
      <c r="B17" s="3" t="str">
        <f t="shared" si="1"/>
        <v>I</v>
      </c>
      <c r="C17" s="9">
        <f t="shared" si="2"/>
        <v>44555.489000000001</v>
      </c>
      <c r="D17" s="11" t="str">
        <f t="shared" si="3"/>
        <v>vis</v>
      </c>
      <c r="E17" s="26">
        <f>VLOOKUP(C17,Active!C$21:E$973,3,FALSE)</f>
        <v>3529.0016060403104</v>
      </c>
      <c r="F17" s="3" t="s">
        <v>75</v>
      </c>
      <c r="G17" s="11" t="str">
        <f t="shared" si="4"/>
        <v>44555.489</v>
      </c>
      <c r="H17" s="9">
        <f t="shared" si="5"/>
        <v>3529</v>
      </c>
      <c r="I17" s="27" t="s">
        <v>240</v>
      </c>
      <c r="J17" s="28" t="s">
        <v>241</v>
      </c>
      <c r="K17" s="27">
        <v>3529</v>
      </c>
      <c r="L17" s="27" t="s">
        <v>168</v>
      </c>
      <c r="M17" s="28" t="s">
        <v>221</v>
      </c>
      <c r="N17" s="28"/>
      <c r="O17" s="29" t="s">
        <v>222</v>
      </c>
      <c r="P17" s="29" t="s">
        <v>242</v>
      </c>
    </row>
    <row r="18" spans="1:16" ht="12.75" customHeight="1" thickBot="1" x14ac:dyDescent="0.25">
      <c r="A18" s="9" t="str">
        <f t="shared" si="0"/>
        <v> BBS 53 </v>
      </c>
      <c r="B18" s="3" t="str">
        <f t="shared" si="1"/>
        <v>I</v>
      </c>
      <c r="C18" s="9">
        <f t="shared" si="2"/>
        <v>44644.332000000002</v>
      </c>
      <c r="D18" s="11" t="str">
        <f t="shared" si="3"/>
        <v>vis</v>
      </c>
      <c r="E18" s="26">
        <f>VLOOKUP(C18,Active!C$21:E$973,3,FALSE)</f>
        <v>3566.0050913477075</v>
      </c>
      <c r="F18" s="3" t="s">
        <v>75</v>
      </c>
      <c r="G18" s="11" t="str">
        <f t="shared" si="4"/>
        <v>44644.332</v>
      </c>
      <c r="H18" s="9">
        <f t="shared" si="5"/>
        <v>3566</v>
      </c>
      <c r="I18" s="27" t="s">
        <v>243</v>
      </c>
      <c r="J18" s="28" t="s">
        <v>244</v>
      </c>
      <c r="K18" s="27">
        <v>3566</v>
      </c>
      <c r="L18" s="27" t="s">
        <v>245</v>
      </c>
      <c r="M18" s="28" t="s">
        <v>221</v>
      </c>
      <c r="N18" s="28"/>
      <c r="O18" s="29" t="s">
        <v>222</v>
      </c>
      <c r="P18" s="29" t="s">
        <v>246</v>
      </c>
    </row>
    <row r="19" spans="1:16" ht="12.75" customHeight="1" thickBot="1" x14ac:dyDescent="0.25">
      <c r="A19" s="9" t="str">
        <f t="shared" si="0"/>
        <v> BBS 58 </v>
      </c>
      <c r="B19" s="3" t="str">
        <f t="shared" si="1"/>
        <v>I</v>
      </c>
      <c r="C19" s="9">
        <f t="shared" si="2"/>
        <v>44973.262000000002</v>
      </c>
      <c r="D19" s="11" t="str">
        <f t="shared" si="3"/>
        <v>vis</v>
      </c>
      <c r="E19" s="26">
        <f>VLOOKUP(C19,Active!C$21:E$973,3,FALSE)</f>
        <v>3703.0058277271864</v>
      </c>
      <c r="F19" s="3" t="s">
        <v>75</v>
      </c>
      <c r="G19" s="11" t="str">
        <f t="shared" si="4"/>
        <v>44973.262</v>
      </c>
      <c r="H19" s="9">
        <f t="shared" si="5"/>
        <v>3703</v>
      </c>
      <c r="I19" s="27" t="s">
        <v>247</v>
      </c>
      <c r="J19" s="28" t="s">
        <v>248</v>
      </c>
      <c r="K19" s="27">
        <v>3703</v>
      </c>
      <c r="L19" s="27" t="s">
        <v>249</v>
      </c>
      <c r="M19" s="28" t="s">
        <v>221</v>
      </c>
      <c r="N19" s="28"/>
      <c r="O19" s="29" t="s">
        <v>222</v>
      </c>
      <c r="P19" s="29" t="s">
        <v>250</v>
      </c>
    </row>
    <row r="20" spans="1:16" ht="12.75" customHeight="1" thickBot="1" x14ac:dyDescent="0.25">
      <c r="A20" s="9" t="str">
        <f t="shared" si="0"/>
        <v> BBS 61 </v>
      </c>
      <c r="B20" s="3" t="str">
        <f t="shared" si="1"/>
        <v>I</v>
      </c>
      <c r="C20" s="9">
        <f t="shared" si="2"/>
        <v>45172.527000000002</v>
      </c>
      <c r="D20" s="11" t="str">
        <f t="shared" si="3"/>
        <v>vis</v>
      </c>
      <c r="E20" s="26">
        <f>VLOOKUP(C20,Active!C$21:E$973,3,FALSE)</f>
        <v>3786.0005431215154</v>
      </c>
      <c r="F20" s="3" t="s">
        <v>75</v>
      </c>
      <c r="G20" s="11" t="str">
        <f t="shared" si="4"/>
        <v>45172.527</v>
      </c>
      <c r="H20" s="9">
        <f t="shared" si="5"/>
        <v>3786</v>
      </c>
      <c r="I20" s="27" t="s">
        <v>251</v>
      </c>
      <c r="J20" s="28" t="s">
        <v>252</v>
      </c>
      <c r="K20" s="27">
        <v>3786</v>
      </c>
      <c r="L20" s="27" t="s">
        <v>253</v>
      </c>
      <c r="M20" s="28" t="s">
        <v>221</v>
      </c>
      <c r="N20" s="28"/>
      <c r="O20" s="29" t="s">
        <v>222</v>
      </c>
      <c r="P20" s="29" t="s">
        <v>254</v>
      </c>
    </row>
    <row r="21" spans="1:16" ht="12.75" customHeight="1" thickBot="1" x14ac:dyDescent="0.25">
      <c r="A21" s="9" t="str">
        <f t="shared" si="0"/>
        <v> BBS 62 </v>
      </c>
      <c r="B21" s="3" t="str">
        <f t="shared" si="1"/>
        <v>I</v>
      </c>
      <c r="C21" s="9">
        <f t="shared" si="2"/>
        <v>45196.506000000001</v>
      </c>
      <c r="D21" s="11" t="str">
        <f t="shared" si="3"/>
        <v>vis</v>
      </c>
      <c r="E21" s="26">
        <f>VLOOKUP(C21,Active!C$21:E$973,3,FALSE)</f>
        <v>3795.9878980530921</v>
      </c>
      <c r="F21" s="3" t="s">
        <v>75</v>
      </c>
      <c r="G21" s="11" t="str">
        <f t="shared" si="4"/>
        <v>45196.506</v>
      </c>
      <c r="H21" s="9">
        <f t="shared" si="5"/>
        <v>3796</v>
      </c>
      <c r="I21" s="27" t="s">
        <v>255</v>
      </c>
      <c r="J21" s="28" t="s">
        <v>256</v>
      </c>
      <c r="K21" s="27">
        <v>3796</v>
      </c>
      <c r="L21" s="27" t="s">
        <v>257</v>
      </c>
      <c r="M21" s="28" t="s">
        <v>221</v>
      </c>
      <c r="N21" s="28"/>
      <c r="O21" s="29" t="s">
        <v>258</v>
      </c>
      <c r="P21" s="29" t="s">
        <v>259</v>
      </c>
    </row>
    <row r="22" spans="1:16" ht="12.75" customHeight="1" thickBot="1" x14ac:dyDescent="0.25">
      <c r="A22" s="9" t="str">
        <f t="shared" si="0"/>
        <v> BBS 62 </v>
      </c>
      <c r="B22" s="3" t="str">
        <f t="shared" si="1"/>
        <v>I</v>
      </c>
      <c r="C22" s="9">
        <f t="shared" si="2"/>
        <v>45196.519</v>
      </c>
      <c r="D22" s="11" t="str">
        <f t="shared" si="3"/>
        <v>vis</v>
      </c>
      <c r="E22" s="26">
        <f>VLOOKUP(C22,Active!C$21:E$973,3,FALSE)</f>
        <v>3795.9933126080819</v>
      </c>
      <c r="F22" s="3" t="s">
        <v>75</v>
      </c>
      <c r="G22" s="11" t="str">
        <f t="shared" si="4"/>
        <v>45196.519</v>
      </c>
      <c r="H22" s="9">
        <f t="shared" si="5"/>
        <v>3796</v>
      </c>
      <c r="I22" s="27" t="s">
        <v>260</v>
      </c>
      <c r="J22" s="28" t="s">
        <v>261</v>
      </c>
      <c r="K22" s="27">
        <v>3796</v>
      </c>
      <c r="L22" s="27" t="s">
        <v>262</v>
      </c>
      <c r="M22" s="28" t="s">
        <v>221</v>
      </c>
      <c r="N22" s="28"/>
      <c r="O22" s="29" t="s">
        <v>222</v>
      </c>
      <c r="P22" s="29" t="s">
        <v>259</v>
      </c>
    </row>
    <row r="23" spans="1:16" ht="12.75" customHeight="1" thickBot="1" x14ac:dyDescent="0.25">
      <c r="A23" s="9" t="str">
        <f t="shared" si="0"/>
        <v> BBS 62 </v>
      </c>
      <c r="B23" s="3" t="str">
        <f t="shared" si="1"/>
        <v>I</v>
      </c>
      <c r="C23" s="9">
        <f t="shared" si="2"/>
        <v>45232.55</v>
      </c>
      <c r="D23" s="11" t="str">
        <f t="shared" si="3"/>
        <v>vis</v>
      </c>
      <c r="E23" s="26">
        <f>VLOOKUP(C23,Active!C$21:E$973,3,FALSE)</f>
        <v>3811.0003765198239</v>
      </c>
      <c r="F23" s="3" t="s">
        <v>75</v>
      </c>
      <c r="G23" s="11" t="str">
        <f t="shared" si="4"/>
        <v>45232.550</v>
      </c>
      <c r="H23" s="9">
        <f t="shared" si="5"/>
        <v>3811</v>
      </c>
      <c r="I23" s="27" t="s">
        <v>263</v>
      </c>
      <c r="J23" s="28" t="s">
        <v>264</v>
      </c>
      <c r="K23" s="27">
        <v>3811</v>
      </c>
      <c r="L23" s="27" t="s">
        <v>253</v>
      </c>
      <c r="M23" s="28" t="s">
        <v>221</v>
      </c>
      <c r="N23" s="28"/>
      <c r="O23" s="29" t="s">
        <v>222</v>
      </c>
      <c r="P23" s="29" t="s">
        <v>259</v>
      </c>
    </row>
    <row r="24" spans="1:16" ht="12.75" customHeight="1" thickBot="1" x14ac:dyDescent="0.25">
      <c r="A24" s="9" t="str">
        <f t="shared" si="0"/>
        <v> BBS 64 </v>
      </c>
      <c r="B24" s="3" t="str">
        <f t="shared" si="1"/>
        <v>I</v>
      </c>
      <c r="C24" s="9">
        <f t="shared" si="2"/>
        <v>45285.347999999998</v>
      </c>
      <c r="D24" s="11" t="str">
        <f t="shared" si="3"/>
        <v>vis</v>
      </c>
      <c r="E24" s="26">
        <f>VLOOKUP(C24,Active!C$21:E$973,3,FALSE)</f>
        <v>3832.9909668562573</v>
      </c>
      <c r="F24" s="3" t="s">
        <v>75</v>
      </c>
      <c r="G24" s="11" t="str">
        <f t="shared" si="4"/>
        <v>45285.348</v>
      </c>
      <c r="H24" s="9">
        <f t="shared" si="5"/>
        <v>3833</v>
      </c>
      <c r="I24" s="27" t="s">
        <v>265</v>
      </c>
      <c r="J24" s="28" t="s">
        <v>266</v>
      </c>
      <c r="K24" s="27">
        <v>3833</v>
      </c>
      <c r="L24" s="27" t="s">
        <v>267</v>
      </c>
      <c r="M24" s="28" t="s">
        <v>221</v>
      </c>
      <c r="N24" s="28"/>
      <c r="O24" s="29" t="s">
        <v>222</v>
      </c>
      <c r="P24" s="29" t="s">
        <v>268</v>
      </c>
    </row>
    <row r="25" spans="1:16" ht="12.75" customHeight="1" thickBot="1" x14ac:dyDescent="0.25">
      <c r="A25" s="9" t="str">
        <f t="shared" si="0"/>
        <v> BBS 64 </v>
      </c>
      <c r="B25" s="3" t="str">
        <f t="shared" si="1"/>
        <v>I</v>
      </c>
      <c r="C25" s="9">
        <f t="shared" si="2"/>
        <v>45333.372000000003</v>
      </c>
      <c r="D25" s="11" t="str">
        <f t="shared" si="3"/>
        <v>vis</v>
      </c>
      <c r="E25" s="26">
        <f>VLOOKUP(C25,Active!C$21:E$973,3,FALSE)</f>
        <v>3852.9931659985941</v>
      </c>
      <c r="F25" s="3" t="s">
        <v>75</v>
      </c>
      <c r="G25" s="11" t="str">
        <f t="shared" si="4"/>
        <v>45333.372</v>
      </c>
      <c r="H25" s="9">
        <f t="shared" si="5"/>
        <v>3853</v>
      </c>
      <c r="I25" s="27" t="s">
        <v>269</v>
      </c>
      <c r="J25" s="28" t="s">
        <v>270</v>
      </c>
      <c r="K25" s="27">
        <v>3853</v>
      </c>
      <c r="L25" s="27" t="s">
        <v>262</v>
      </c>
      <c r="M25" s="28" t="s">
        <v>221</v>
      </c>
      <c r="N25" s="28"/>
      <c r="O25" s="29" t="s">
        <v>222</v>
      </c>
      <c r="P25" s="29" t="s">
        <v>268</v>
      </c>
    </row>
    <row r="26" spans="1:16" ht="12.75" customHeight="1" thickBot="1" x14ac:dyDescent="0.25">
      <c r="A26" s="9" t="str">
        <f t="shared" si="0"/>
        <v> BBS 64 </v>
      </c>
      <c r="B26" s="3" t="str">
        <f t="shared" si="1"/>
        <v>I</v>
      </c>
      <c r="C26" s="9">
        <f t="shared" si="2"/>
        <v>45345.406000000003</v>
      </c>
      <c r="D26" s="11" t="str">
        <f t="shared" si="3"/>
        <v>vis</v>
      </c>
      <c r="E26" s="26">
        <f>VLOOKUP(C26,Active!C$21:E$973,3,FALSE)</f>
        <v>3858.005377902618</v>
      </c>
      <c r="F26" s="3" t="s">
        <v>75</v>
      </c>
      <c r="G26" s="11" t="str">
        <f t="shared" si="4"/>
        <v>45345.406</v>
      </c>
      <c r="H26" s="9">
        <f t="shared" si="5"/>
        <v>3858</v>
      </c>
      <c r="I26" s="27" t="s">
        <v>271</v>
      </c>
      <c r="J26" s="28" t="s">
        <v>272</v>
      </c>
      <c r="K26" s="27">
        <v>3858</v>
      </c>
      <c r="L26" s="27" t="s">
        <v>197</v>
      </c>
      <c r="M26" s="28" t="s">
        <v>221</v>
      </c>
      <c r="N26" s="28"/>
      <c r="O26" s="29" t="s">
        <v>222</v>
      </c>
      <c r="P26" s="29" t="s">
        <v>268</v>
      </c>
    </row>
    <row r="27" spans="1:16" ht="12.75" customHeight="1" thickBot="1" x14ac:dyDescent="0.25">
      <c r="A27" s="9" t="str">
        <f t="shared" si="0"/>
        <v> BBS 74 </v>
      </c>
      <c r="B27" s="3" t="str">
        <f t="shared" si="1"/>
        <v>I</v>
      </c>
      <c r="C27" s="9">
        <f t="shared" si="2"/>
        <v>45998.421999999999</v>
      </c>
      <c r="D27" s="11" t="str">
        <f t="shared" si="3"/>
        <v>vis</v>
      </c>
      <c r="E27" s="26">
        <f>VLOOKUP(C27,Active!C$21:E$973,3,FALSE)</f>
        <v>4129.9893041713713</v>
      </c>
      <c r="F27" s="3" t="s">
        <v>75</v>
      </c>
      <c r="G27" s="11" t="str">
        <f t="shared" si="4"/>
        <v>45998.422</v>
      </c>
      <c r="H27" s="9">
        <f t="shared" si="5"/>
        <v>4130</v>
      </c>
      <c r="I27" s="27" t="s">
        <v>273</v>
      </c>
      <c r="J27" s="28" t="s">
        <v>274</v>
      </c>
      <c r="K27" s="27">
        <v>4130</v>
      </c>
      <c r="L27" s="27" t="s">
        <v>275</v>
      </c>
      <c r="M27" s="28" t="s">
        <v>221</v>
      </c>
      <c r="N27" s="28"/>
      <c r="O27" s="29" t="s">
        <v>222</v>
      </c>
      <c r="P27" s="29" t="s">
        <v>276</v>
      </c>
    </row>
    <row r="28" spans="1:16" ht="12.75" customHeight="1" thickBot="1" x14ac:dyDescent="0.25">
      <c r="A28" s="9" t="str">
        <f t="shared" si="0"/>
        <v> BBS 116 </v>
      </c>
      <c r="B28" s="3" t="str">
        <f t="shared" si="1"/>
        <v>I</v>
      </c>
      <c r="C28" s="9">
        <f t="shared" si="2"/>
        <v>50812.321000000004</v>
      </c>
      <c r="D28" s="11" t="str">
        <f t="shared" si="3"/>
        <v>vis</v>
      </c>
      <c r="E28" s="26">
        <f>VLOOKUP(C28,Active!C$21:E$973,3,FALSE)</f>
        <v>6134.9986005457877</v>
      </c>
      <c r="F28" s="3" t="s">
        <v>75</v>
      </c>
      <c r="G28" s="11" t="str">
        <f t="shared" si="4"/>
        <v>50812.321</v>
      </c>
      <c r="H28" s="9">
        <f t="shared" si="5"/>
        <v>6135</v>
      </c>
      <c r="I28" s="27" t="s">
        <v>281</v>
      </c>
      <c r="J28" s="28" t="s">
        <v>282</v>
      </c>
      <c r="K28" s="27">
        <v>6135</v>
      </c>
      <c r="L28" s="27" t="s">
        <v>77</v>
      </c>
      <c r="M28" s="28" t="s">
        <v>283</v>
      </c>
      <c r="N28" s="28" t="s">
        <v>284</v>
      </c>
      <c r="O28" s="29" t="s">
        <v>285</v>
      </c>
      <c r="P28" s="29" t="s">
        <v>286</v>
      </c>
    </row>
    <row r="29" spans="1:16" ht="12.75" customHeight="1" thickBot="1" x14ac:dyDescent="0.25">
      <c r="A29" s="9" t="str">
        <f t="shared" si="0"/>
        <v>IBVS 4888 </v>
      </c>
      <c r="B29" s="3" t="str">
        <f t="shared" si="1"/>
        <v>I</v>
      </c>
      <c r="C29" s="9">
        <f t="shared" si="2"/>
        <v>51129.2428</v>
      </c>
      <c r="D29" s="11" t="str">
        <f t="shared" si="3"/>
        <v>vis</v>
      </c>
      <c r="E29" s="26">
        <f>VLOOKUP(C29,Active!C$21:E$973,3,FALSE)</f>
        <v>6266.9978708303752</v>
      </c>
      <c r="F29" s="3" t="s">
        <v>75</v>
      </c>
      <c r="G29" s="11" t="str">
        <f t="shared" si="4"/>
        <v>51129.2428</v>
      </c>
      <c r="H29" s="9">
        <f t="shared" si="5"/>
        <v>6267</v>
      </c>
      <c r="I29" s="27" t="s">
        <v>287</v>
      </c>
      <c r="J29" s="28" t="s">
        <v>288</v>
      </c>
      <c r="K29" s="27">
        <v>6267</v>
      </c>
      <c r="L29" s="27" t="s">
        <v>289</v>
      </c>
      <c r="M29" s="28" t="s">
        <v>283</v>
      </c>
      <c r="N29" s="28" t="s">
        <v>284</v>
      </c>
      <c r="O29" s="29" t="s">
        <v>290</v>
      </c>
      <c r="P29" s="30" t="s">
        <v>291</v>
      </c>
    </row>
    <row r="30" spans="1:16" ht="12.75" customHeight="1" thickBot="1" x14ac:dyDescent="0.25">
      <c r="A30" s="9" t="str">
        <f t="shared" si="0"/>
        <v>IBVS 5263 </v>
      </c>
      <c r="B30" s="3" t="str">
        <f t="shared" si="1"/>
        <v>I</v>
      </c>
      <c r="C30" s="9">
        <f t="shared" si="2"/>
        <v>51484.5821</v>
      </c>
      <c r="D30" s="11" t="str">
        <f t="shared" si="3"/>
        <v>vis</v>
      </c>
      <c r="E30" s="26">
        <f>VLOOKUP(C30,Active!C$21:E$973,3,FALSE)</f>
        <v>6414.9981923716405</v>
      </c>
      <c r="F30" s="3" t="s">
        <v>75</v>
      </c>
      <c r="G30" s="11" t="str">
        <f t="shared" si="4"/>
        <v>51484.5821</v>
      </c>
      <c r="H30" s="9">
        <f t="shared" si="5"/>
        <v>6415</v>
      </c>
      <c r="I30" s="27" t="s">
        <v>292</v>
      </c>
      <c r="J30" s="28" t="s">
        <v>293</v>
      </c>
      <c r="K30" s="27">
        <v>6415</v>
      </c>
      <c r="L30" s="27" t="s">
        <v>294</v>
      </c>
      <c r="M30" s="28" t="s">
        <v>283</v>
      </c>
      <c r="N30" s="28" t="s">
        <v>284</v>
      </c>
      <c r="O30" s="29" t="s">
        <v>290</v>
      </c>
      <c r="P30" s="30" t="s">
        <v>295</v>
      </c>
    </row>
    <row r="31" spans="1:16" ht="12.75" customHeight="1" thickBot="1" x14ac:dyDescent="0.25">
      <c r="A31" s="9" t="str">
        <f t="shared" si="0"/>
        <v>OEJV 0074 </v>
      </c>
      <c r="B31" s="3" t="str">
        <f t="shared" si="1"/>
        <v>I</v>
      </c>
      <c r="C31" s="9">
        <f t="shared" si="2"/>
        <v>51878.339269999997</v>
      </c>
      <c r="D31" s="11" t="str">
        <f t="shared" si="3"/>
        <v>CCD</v>
      </c>
      <c r="E31" s="26">
        <f>VLOOKUP(C31,Active!C$21:E$973,3,FALSE)</f>
        <v>6578.9997192761466</v>
      </c>
      <c r="F31" s="3" t="str">
        <f>LEFT(M31,1)</f>
        <v>C</v>
      </c>
      <c r="G31" s="11" t="str">
        <f t="shared" si="4"/>
        <v>51878.33927</v>
      </c>
      <c r="H31" s="9">
        <f t="shared" si="5"/>
        <v>6579</v>
      </c>
      <c r="I31" s="27" t="s">
        <v>300</v>
      </c>
      <c r="J31" s="28" t="s">
        <v>301</v>
      </c>
      <c r="K31" s="27">
        <v>6579</v>
      </c>
      <c r="L31" s="27" t="s">
        <v>302</v>
      </c>
      <c r="M31" s="28" t="s">
        <v>303</v>
      </c>
      <c r="N31" s="28" t="s">
        <v>304</v>
      </c>
      <c r="O31" s="29" t="s">
        <v>305</v>
      </c>
      <c r="P31" s="30" t="s">
        <v>306</v>
      </c>
    </row>
    <row r="32" spans="1:16" ht="12.75" customHeight="1" thickBot="1" x14ac:dyDescent="0.25">
      <c r="A32" s="9" t="str">
        <f t="shared" si="0"/>
        <v>BAVM 152 </v>
      </c>
      <c r="B32" s="3" t="str">
        <f t="shared" si="1"/>
        <v>I</v>
      </c>
      <c r="C32" s="9">
        <f t="shared" si="2"/>
        <v>51926.357400000001</v>
      </c>
      <c r="D32" s="11" t="str">
        <f t="shared" si="3"/>
        <v>PE</v>
      </c>
      <c r="E32" s="26">
        <f>VLOOKUP(C32,Active!C$21:E$973,3,FALSE)</f>
        <v>6598.9994735386526</v>
      </c>
      <c r="F32" s="3" t="str">
        <f>LEFT(M32,1)</f>
        <v>E</v>
      </c>
      <c r="G32" s="11" t="str">
        <f t="shared" si="4"/>
        <v>51926.3574</v>
      </c>
      <c r="H32" s="9">
        <f t="shared" si="5"/>
        <v>6599</v>
      </c>
      <c r="I32" s="27" t="s">
        <v>307</v>
      </c>
      <c r="J32" s="28" t="s">
        <v>308</v>
      </c>
      <c r="K32" s="27">
        <v>6599</v>
      </c>
      <c r="L32" s="27" t="s">
        <v>309</v>
      </c>
      <c r="M32" s="28" t="s">
        <v>283</v>
      </c>
      <c r="N32" s="28" t="s">
        <v>304</v>
      </c>
      <c r="O32" s="29" t="s">
        <v>310</v>
      </c>
      <c r="P32" s="30" t="s">
        <v>311</v>
      </c>
    </row>
    <row r="33" spans="1:16" ht="12.75" customHeight="1" thickBot="1" x14ac:dyDescent="0.25">
      <c r="A33" s="9" t="str">
        <f t="shared" si="0"/>
        <v>BAVM 172 </v>
      </c>
      <c r="B33" s="3" t="str">
        <f t="shared" si="1"/>
        <v>I</v>
      </c>
      <c r="C33" s="9">
        <f t="shared" si="2"/>
        <v>52903.536999999997</v>
      </c>
      <c r="D33" s="11" t="str">
        <f t="shared" si="3"/>
        <v>PE</v>
      </c>
      <c r="E33" s="26">
        <f>VLOOKUP(C33,Active!C$21:E$973,3,FALSE)</f>
        <v>7005.9989104249316</v>
      </c>
      <c r="F33" s="3" t="str">
        <f>LEFT(M33,1)</f>
        <v>E</v>
      </c>
      <c r="G33" s="11" t="str">
        <f t="shared" si="4"/>
        <v>52903.5370</v>
      </c>
      <c r="H33" s="9">
        <f t="shared" si="5"/>
        <v>7006</v>
      </c>
      <c r="I33" s="27" t="s">
        <v>312</v>
      </c>
      <c r="J33" s="28" t="s">
        <v>313</v>
      </c>
      <c r="K33" s="27">
        <v>7006</v>
      </c>
      <c r="L33" s="27" t="s">
        <v>314</v>
      </c>
      <c r="M33" s="28" t="s">
        <v>283</v>
      </c>
      <c r="N33" s="28" t="s">
        <v>315</v>
      </c>
      <c r="O33" s="29" t="s">
        <v>310</v>
      </c>
      <c r="P33" s="30" t="s">
        <v>316</v>
      </c>
    </row>
    <row r="34" spans="1:16" ht="12.75" customHeight="1" thickBot="1" x14ac:dyDescent="0.25">
      <c r="A34" s="9" t="str">
        <f t="shared" si="0"/>
        <v>OEJV 0003 </v>
      </c>
      <c r="B34" s="3" t="str">
        <f t="shared" si="1"/>
        <v>I</v>
      </c>
      <c r="C34" s="9">
        <f t="shared" si="2"/>
        <v>53256.478000000003</v>
      </c>
      <c r="D34" s="11" t="str">
        <f t="shared" si="3"/>
        <v>vis</v>
      </c>
      <c r="E34" s="26">
        <f>VLOOKUP(C34,Active!C$21:E$973,3,FALSE)</f>
        <v>7153.00032987135</v>
      </c>
      <c r="F34" s="3" t="str">
        <f>LEFT(M34,1)</f>
        <v>V</v>
      </c>
      <c r="G34" s="11" t="str">
        <f t="shared" si="4"/>
        <v>53256.478</v>
      </c>
      <c r="H34" s="9">
        <f t="shared" si="5"/>
        <v>7153</v>
      </c>
      <c r="I34" s="27" t="s">
        <v>317</v>
      </c>
      <c r="J34" s="28" t="s">
        <v>318</v>
      </c>
      <c r="K34" s="27" t="s">
        <v>319</v>
      </c>
      <c r="L34" s="27" t="s">
        <v>253</v>
      </c>
      <c r="M34" s="28" t="s">
        <v>221</v>
      </c>
      <c r="N34" s="28"/>
      <c r="O34" s="29" t="s">
        <v>222</v>
      </c>
      <c r="P34" s="30" t="s">
        <v>320</v>
      </c>
    </row>
    <row r="35" spans="1:16" ht="12.75" customHeight="1" thickBot="1" x14ac:dyDescent="0.25">
      <c r="A35" s="9" t="str">
        <f t="shared" si="0"/>
        <v>BAVM 209 </v>
      </c>
      <c r="B35" s="3" t="str">
        <f t="shared" si="1"/>
        <v>I</v>
      </c>
      <c r="C35" s="9">
        <f t="shared" si="2"/>
        <v>54831.489200000004</v>
      </c>
      <c r="D35" s="11" t="str">
        <f t="shared" si="3"/>
        <v>vis</v>
      </c>
      <c r="E35" s="26">
        <f>VLOOKUP(C35,Active!C$21:E$973,3,FALSE)</f>
        <v>7808.9991569954382</v>
      </c>
      <c r="F35" s="3" t="s">
        <v>75</v>
      </c>
      <c r="G35" s="11" t="str">
        <f t="shared" si="4"/>
        <v>54831.4892</v>
      </c>
      <c r="H35" s="9">
        <f t="shared" si="5"/>
        <v>7809</v>
      </c>
      <c r="I35" s="27" t="s">
        <v>321</v>
      </c>
      <c r="J35" s="28" t="s">
        <v>322</v>
      </c>
      <c r="K35" s="27" t="s">
        <v>323</v>
      </c>
      <c r="L35" s="27" t="s">
        <v>324</v>
      </c>
      <c r="M35" s="28" t="s">
        <v>303</v>
      </c>
      <c r="N35" s="28" t="s">
        <v>315</v>
      </c>
      <c r="O35" s="29" t="s">
        <v>325</v>
      </c>
      <c r="P35" s="30" t="s">
        <v>326</v>
      </c>
    </row>
    <row r="36" spans="1:16" ht="12.75" customHeight="1" thickBot="1" x14ac:dyDescent="0.25">
      <c r="A36" s="9" t="str">
        <f t="shared" si="0"/>
        <v>BAVM 209 </v>
      </c>
      <c r="B36" s="3" t="str">
        <f t="shared" si="1"/>
        <v>II</v>
      </c>
      <c r="C36" s="9">
        <f t="shared" si="2"/>
        <v>54842.300600000002</v>
      </c>
      <c r="D36" s="11" t="str">
        <f t="shared" si="3"/>
        <v>vis</v>
      </c>
      <c r="E36" s="26">
        <f>VLOOKUP(C36,Active!C$21:E$973,3,FALSE)</f>
        <v>7813.5021508278433</v>
      </c>
      <c r="F36" s="3" t="s">
        <v>75</v>
      </c>
      <c r="G36" s="11" t="str">
        <f t="shared" si="4"/>
        <v>54842.3006</v>
      </c>
      <c r="H36" s="9">
        <f t="shared" si="5"/>
        <v>7813.5</v>
      </c>
      <c r="I36" s="27" t="s">
        <v>327</v>
      </c>
      <c r="J36" s="28" t="s">
        <v>328</v>
      </c>
      <c r="K36" s="27" t="s">
        <v>329</v>
      </c>
      <c r="L36" s="27" t="s">
        <v>330</v>
      </c>
      <c r="M36" s="28" t="s">
        <v>303</v>
      </c>
      <c r="N36" s="28" t="s">
        <v>315</v>
      </c>
      <c r="O36" s="29" t="s">
        <v>325</v>
      </c>
      <c r="P36" s="30" t="s">
        <v>326</v>
      </c>
    </row>
    <row r="37" spans="1:16" ht="12.75" customHeight="1" thickBot="1" x14ac:dyDescent="0.25">
      <c r="A37" s="9" t="str">
        <f t="shared" si="0"/>
        <v>IBVS 6011 </v>
      </c>
      <c r="B37" s="3" t="str">
        <f t="shared" si="1"/>
        <v>I</v>
      </c>
      <c r="C37" s="9">
        <f t="shared" si="2"/>
        <v>55851.875999999997</v>
      </c>
      <c r="D37" s="11" t="str">
        <f t="shared" si="3"/>
        <v>vis</v>
      </c>
      <c r="E37" s="26">
        <f>VLOOKUP(C37,Active!C$21:E$973,3,FALSE)</f>
        <v>8233.9945754489054</v>
      </c>
      <c r="F37" s="3" t="s">
        <v>75</v>
      </c>
      <c r="G37" s="11" t="str">
        <f t="shared" si="4"/>
        <v>55851.8760</v>
      </c>
      <c r="H37" s="9">
        <f t="shared" si="5"/>
        <v>8234</v>
      </c>
      <c r="I37" s="27" t="s">
        <v>336</v>
      </c>
      <c r="J37" s="28" t="s">
        <v>337</v>
      </c>
      <c r="K37" s="27" t="s">
        <v>338</v>
      </c>
      <c r="L37" s="27" t="s">
        <v>339</v>
      </c>
      <c r="M37" s="28" t="s">
        <v>303</v>
      </c>
      <c r="N37" s="28" t="s">
        <v>75</v>
      </c>
      <c r="O37" s="29" t="s">
        <v>285</v>
      </c>
      <c r="P37" s="30" t="s">
        <v>340</v>
      </c>
    </row>
    <row r="38" spans="1:16" ht="12.75" customHeight="1" thickBot="1" x14ac:dyDescent="0.25">
      <c r="A38" s="9" t="str">
        <f t="shared" si="0"/>
        <v> AC 1152 </v>
      </c>
      <c r="B38" s="3" t="str">
        <f t="shared" si="1"/>
        <v>I</v>
      </c>
      <c r="C38" s="9">
        <f t="shared" si="2"/>
        <v>17564.2</v>
      </c>
      <c r="D38" s="11" t="str">
        <f t="shared" si="3"/>
        <v>vis</v>
      </c>
      <c r="E38" s="26">
        <f>VLOOKUP(C38,Active!C$21:E$973,3,FALSE)</f>
        <v>-7712.9844360699326</v>
      </c>
      <c r="F38" s="3" t="s">
        <v>75</v>
      </c>
      <c r="G38" s="11" t="str">
        <f t="shared" si="4"/>
        <v>17564.20</v>
      </c>
      <c r="H38" s="9">
        <f t="shared" si="5"/>
        <v>-7713</v>
      </c>
      <c r="I38" s="27" t="s">
        <v>78</v>
      </c>
      <c r="J38" s="28" t="s">
        <v>79</v>
      </c>
      <c r="K38" s="27">
        <v>-7713</v>
      </c>
      <c r="L38" s="27" t="s">
        <v>80</v>
      </c>
      <c r="M38" s="28" t="s">
        <v>81</v>
      </c>
      <c r="N38" s="28"/>
      <c r="O38" s="29" t="s">
        <v>82</v>
      </c>
      <c r="P38" s="29" t="s">
        <v>83</v>
      </c>
    </row>
    <row r="39" spans="1:16" ht="12.75" customHeight="1" thickBot="1" x14ac:dyDescent="0.25">
      <c r="A39" s="9" t="str">
        <f t="shared" si="0"/>
        <v> AC 1152 </v>
      </c>
      <c r="B39" s="3" t="str">
        <f t="shared" si="1"/>
        <v>I</v>
      </c>
      <c r="C39" s="9">
        <f t="shared" si="2"/>
        <v>27398.44</v>
      </c>
      <c r="D39" s="11" t="str">
        <f t="shared" si="3"/>
        <v>vis</v>
      </c>
      <c r="E39" s="26">
        <f>VLOOKUP(C39,Active!C$21:E$973,3,FALSE)</f>
        <v>-3616.9818770679449</v>
      </c>
      <c r="F39" s="3" t="s">
        <v>75</v>
      </c>
      <c r="G39" s="11" t="str">
        <f t="shared" si="4"/>
        <v>27398.44</v>
      </c>
      <c r="H39" s="9">
        <f t="shared" si="5"/>
        <v>-3617</v>
      </c>
      <c r="I39" s="27" t="s">
        <v>84</v>
      </c>
      <c r="J39" s="28" t="s">
        <v>85</v>
      </c>
      <c r="K39" s="27">
        <v>-3617</v>
      </c>
      <c r="L39" s="27" t="s">
        <v>80</v>
      </c>
      <c r="M39" s="28" t="s">
        <v>81</v>
      </c>
      <c r="N39" s="28"/>
      <c r="O39" s="29" t="s">
        <v>82</v>
      </c>
      <c r="P39" s="29" t="s">
        <v>83</v>
      </c>
    </row>
    <row r="40" spans="1:16" ht="12.75" customHeight="1" thickBot="1" x14ac:dyDescent="0.25">
      <c r="A40" s="9" t="str">
        <f t="shared" si="0"/>
        <v> AC 1152 </v>
      </c>
      <c r="B40" s="3" t="str">
        <f t="shared" si="1"/>
        <v>I</v>
      </c>
      <c r="C40" s="9">
        <f t="shared" si="2"/>
        <v>29165.45</v>
      </c>
      <c r="D40" s="11" t="str">
        <f t="shared" si="3"/>
        <v>vis</v>
      </c>
      <c r="E40" s="26">
        <f>VLOOKUP(C40,Active!C$21:E$973,3,FALSE)</f>
        <v>-2881.0147375856754</v>
      </c>
      <c r="F40" s="3" t="s">
        <v>75</v>
      </c>
      <c r="G40" s="11" t="str">
        <f t="shared" si="4"/>
        <v>29165.45</v>
      </c>
      <c r="H40" s="9">
        <f t="shared" si="5"/>
        <v>-2881</v>
      </c>
      <c r="I40" s="27" t="s">
        <v>86</v>
      </c>
      <c r="J40" s="28" t="s">
        <v>87</v>
      </c>
      <c r="K40" s="27">
        <v>-2881</v>
      </c>
      <c r="L40" s="27" t="s">
        <v>88</v>
      </c>
      <c r="M40" s="28" t="s">
        <v>81</v>
      </c>
      <c r="N40" s="28"/>
      <c r="O40" s="29" t="s">
        <v>82</v>
      </c>
      <c r="P40" s="29" t="s">
        <v>83</v>
      </c>
    </row>
    <row r="41" spans="1:16" ht="12.75" customHeight="1" thickBot="1" x14ac:dyDescent="0.25">
      <c r="A41" s="9" t="str">
        <f t="shared" si="0"/>
        <v> VSS 9.133 </v>
      </c>
      <c r="B41" s="3" t="str">
        <f t="shared" si="1"/>
        <v>I</v>
      </c>
      <c r="C41" s="9">
        <f t="shared" si="2"/>
        <v>30781.285</v>
      </c>
      <c r="D41" s="11" t="str">
        <f t="shared" si="3"/>
        <v>vis</v>
      </c>
      <c r="E41" s="26">
        <f>VLOOKUP(C41,Active!C$21:E$973,3,FALSE)</f>
        <v>-2208.012625076221</v>
      </c>
      <c r="F41" s="3" t="s">
        <v>75</v>
      </c>
      <c r="G41" s="11" t="str">
        <f t="shared" si="4"/>
        <v>30781.285</v>
      </c>
      <c r="H41" s="9">
        <f t="shared" si="5"/>
        <v>-2208</v>
      </c>
      <c r="I41" s="27" t="s">
        <v>89</v>
      </c>
      <c r="J41" s="28" t="s">
        <v>90</v>
      </c>
      <c r="K41" s="27">
        <v>-2208</v>
      </c>
      <c r="L41" s="27" t="s">
        <v>91</v>
      </c>
      <c r="M41" s="28" t="s">
        <v>81</v>
      </c>
      <c r="N41" s="28"/>
      <c r="O41" s="29" t="s">
        <v>92</v>
      </c>
      <c r="P41" s="29" t="s">
        <v>93</v>
      </c>
    </row>
    <row r="42" spans="1:16" ht="12.75" customHeight="1" thickBot="1" x14ac:dyDescent="0.25">
      <c r="A42" s="9" t="str">
        <f t="shared" si="0"/>
        <v> VSS 9.133 </v>
      </c>
      <c r="B42" s="3" t="str">
        <f t="shared" si="1"/>
        <v>I</v>
      </c>
      <c r="C42" s="9">
        <f t="shared" si="2"/>
        <v>31021.416000000001</v>
      </c>
      <c r="D42" s="11" t="str">
        <f t="shared" si="3"/>
        <v>vis</v>
      </c>
      <c r="E42" s="26">
        <f>VLOOKUP(C42,Active!C$21:E$973,3,FALSE)</f>
        <v>-2107.997047818018</v>
      </c>
      <c r="F42" s="3" t="s">
        <v>75</v>
      </c>
      <c r="G42" s="11" t="str">
        <f t="shared" si="4"/>
        <v>31021.416</v>
      </c>
      <c r="H42" s="9">
        <f t="shared" si="5"/>
        <v>-2108</v>
      </c>
      <c r="I42" s="27" t="s">
        <v>94</v>
      </c>
      <c r="J42" s="28" t="s">
        <v>95</v>
      </c>
      <c r="K42" s="27">
        <v>-2108</v>
      </c>
      <c r="L42" s="27" t="s">
        <v>96</v>
      </c>
      <c r="M42" s="28" t="s">
        <v>81</v>
      </c>
      <c r="N42" s="28"/>
      <c r="O42" s="29" t="s">
        <v>92</v>
      </c>
      <c r="P42" s="29" t="s">
        <v>93</v>
      </c>
    </row>
    <row r="43" spans="1:16" ht="12.75" customHeight="1" thickBot="1" x14ac:dyDescent="0.25">
      <c r="A43" s="9" t="str">
        <f t="shared" ref="A43:A74" si="6">P43</f>
        <v> VSS 9.133 </v>
      </c>
      <c r="B43" s="3" t="str">
        <f t="shared" ref="B43:B74" si="7">IF(H43=INT(H43),"I","II")</f>
        <v>I</v>
      </c>
      <c r="C43" s="9">
        <f t="shared" ref="C43:C74" si="8">1*G43</f>
        <v>31028.58</v>
      </c>
      <c r="D43" s="11" t="str">
        <f t="shared" ref="D43:D74" si="9">VLOOKUP(F43,I$1:J$5,2,FALSE)</f>
        <v>vis</v>
      </c>
      <c r="E43" s="26">
        <f>VLOOKUP(C43,Active!C$21:E$973,3,FALSE)</f>
        <v>-2105.013211514176</v>
      </c>
      <c r="F43" s="3" t="s">
        <v>75</v>
      </c>
      <c r="G43" s="11" t="str">
        <f t="shared" ref="G43:G74" si="10">MID(I43,3,LEN(I43)-3)</f>
        <v>31028.580</v>
      </c>
      <c r="H43" s="9">
        <f t="shared" ref="H43:H74" si="11">1*K43</f>
        <v>-2105</v>
      </c>
      <c r="I43" s="27" t="s">
        <v>97</v>
      </c>
      <c r="J43" s="28" t="s">
        <v>98</v>
      </c>
      <c r="K43" s="27">
        <v>-2105</v>
      </c>
      <c r="L43" s="27" t="s">
        <v>99</v>
      </c>
      <c r="M43" s="28" t="s">
        <v>81</v>
      </c>
      <c r="N43" s="28"/>
      <c r="O43" s="29" t="s">
        <v>92</v>
      </c>
      <c r="P43" s="29" t="s">
        <v>93</v>
      </c>
    </row>
    <row r="44" spans="1:16" ht="12.75" customHeight="1" thickBot="1" x14ac:dyDescent="0.25">
      <c r="A44" s="9" t="str">
        <f t="shared" si="6"/>
        <v> AC 1152 </v>
      </c>
      <c r="B44" s="3" t="str">
        <f t="shared" si="7"/>
        <v>I</v>
      </c>
      <c r="C44" s="9">
        <f t="shared" si="8"/>
        <v>34332.36</v>
      </c>
      <c r="D44" s="11" t="str">
        <f t="shared" si="9"/>
        <v>vis</v>
      </c>
      <c r="E44" s="26">
        <f>VLOOKUP(C44,Active!C$21:E$973,3,FALSE)</f>
        <v>-728.97486646874449</v>
      </c>
      <c r="F44" s="3" t="s">
        <v>75</v>
      </c>
      <c r="G44" s="11" t="str">
        <f t="shared" si="10"/>
        <v>34332.36</v>
      </c>
      <c r="H44" s="9">
        <f t="shared" si="11"/>
        <v>-729</v>
      </c>
      <c r="I44" s="27" t="s">
        <v>100</v>
      </c>
      <c r="J44" s="28" t="s">
        <v>101</v>
      </c>
      <c r="K44" s="27">
        <v>-729</v>
      </c>
      <c r="L44" s="27" t="s">
        <v>102</v>
      </c>
      <c r="M44" s="28" t="s">
        <v>81</v>
      </c>
      <c r="N44" s="28"/>
      <c r="O44" s="29" t="s">
        <v>82</v>
      </c>
      <c r="P44" s="29" t="s">
        <v>83</v>
      </c>
    </row>
    <row r="45" spans="1:16" ht="12.75" customHeight="1" thickBot="1" x14ac:dyDescent="0.25">
      <c r="A45" s="9" t="str">
        <f t="shared" si="6"/>
        <v> AC 1152 </v>
      </c>
      <c r="B45" s="3" t="str">
        <f t="shared" si="7"/>
        <v>I</v>
      </c>
      <c r="C45" s="9">
        <f t="shared" si="8"/>
        <v>35076.51</v>
      </c>
      <c r="D45" s="11" t="str">
        <f t="shared" si="9"/>
        <v>vis</v>
      </c>
      <c r="E45" s="26">
        <f>VLOOKUP(C45,Active!C$21:E$973,3,FALSE)</f>
        <v>-419.03324370162306</v>
      </c>
      <c r="F45" s="3" t="s">
        <v>75</v>
      </c>
      <c r="G45" s="11" t="str">
        <f t="shared" si="10"/>
        <v>35076.51</v>
      </c>
      <c r="H45" s="9">
        <f t="shared" si="11"/>
        <v>-419</v>
      </c>
      <c r="I45" s="27" t="s">
        <v>103</v>
      </c>
      <c r="J45" s="28" t="s">
        <v>104</v>
      </c>
      <c r="K45" s="27">
        <v>-419</v>
      </c>
      <c r="L45" s="27" t="s">
        <v>105</v>
      </c>
      <c r="M45" s="28" t="s">
        <v>81</v>
      </c>
      <c r="N45" s="28"/>
      <c r="O45" s="29" t="s">
        <v>82</v>
      </c>
      <c r="P45" s="29" t="s">
        <v>83</v>
      </c>
    </row>
    <row r="46" spans="1:16" ht="12.75" customHeight="1" thickBot="1" x14ac:dyDescent="0.25">
      <c r="A46" s="9" t="str">
        <f t="shared" si="6"/>
        <v> AC 1152 </v>
      </c>
      <c r="B46" s="3" t="str">
        <f t="shared" si="7"/>
        <v>I</v>
      </c>
      <c r="C46" s="9">
        <f t="shared" si="8"/>
        <v>36082.550000000003</v>
      </c>
      <c r="D46" s="11" t="str">
        <f t="shared" si="9"/>
        <v>vis</v>
      </c>
      <c r="E46" s="26">
        <f>VLOOKUP(C46,Active!C$21:E$973,3,FALSE)</f>
        <v>-1.3328135360227552E-2</v>
      </c>
      <c r="F46" s="3" t="s">
        <v>75</v>
      </c>
      <c r="G46" s="11" t="str">
        <f t="shared" si="10"/>
        <v>36082.55</v>
      </c>
      <c r="H46" s="9">
        <f t="shared" si="11"/>
        <v>0</v>
      </c>
      <c r="I46" s="27" t="s">
        <v>106</v>
      </c>
      <c r="J46" s="28" t="s">
        <v>107</v>
      </c>
      <c r="K46" s="27">
        <v>0</v>
      </c>
      <c r="L46" s="27" t="s">
        <v>108</v>
      </c>
      <c r="M46" s="28" t="s">
        <v>81</v>
      </c>
      <c r="N46" s="28"/>
      <c r="O46" s="29" t="s">
        <v>82</v>
      </c>
      <c r="P46" s="29" t="s">
        <v>83</v>
      </c>
    </row>
    <row r="47" spans="1:16" ht="12.75" customHeight="1" thickBot="1" x14ac:dyDescent="0.25">
      <c r="A47" s="9" t="str">
        <f t="shared" si="6"/>
        <v> AC 1152 </v>
      </c>
      <c r="B47" s="3" t="str">
        <f t="shared" si="7"/>
        <v>I</v>
      </c>
      <c r="C47" s="9">
        <f t="shared" si="8"/>
        <v>36483.46</v>
      </c>
      <c r="D47" s="11" t="str">
        <f t="shared" si="9"/>
        <v>vis</v>
      </c>
      <c r="E47" s="26">
        <f>VLOOKUP(C47,Active!C$21:E$973,3,FALSE)</f>
        <v>166.96738272073765</v>
      </c>
      <c r="F47" s="3" t="s">
        <v>75</v>
      </c>
      <c r="G47" s="11" t="str">
        <f t="shared" si="10"/>
        <v>36483.46</v>
      </c>
      <c r="H47" s="9">
        <f t="shared" si="11"/>
        <v>167</v>
      </c>
      <c r="I47" s="27" t="s">
        <v>109</v>
      </c>
      <c r="J47" s="28" t="s">
        <v>110</v>
      </c>
      <c r="K47" s="27">
        <v>167</v>
      </c>
      <c r="L47" s="27" t="s">
        <v>105</v>
      </c>
      <c r="M47" s="28" t="s">
        <v>81</v>
      </c>
      <c r="N47" s="28"/>
      <c r="O47" s="29" t="s">
        <v>82</v>
      </c>
      <c r="P47" s="29" t="s">
        <v>83</v>
      </c>
    </row>
    <row r="48" spans="1:16" ht="12.75" customHeight="1" thickBot="1" x14ac:dyDescent="0.25">
      <c r="A48" s="9" t="str">
        <f t="shared" si="6"/>
        <v> MSAI 47.241 </v>
      </c>
      <c r="B48" s="3" t="str">
        <f t="shared" si="7"/>
        <v>I</v>
      </c>
      <c r="C48" s="9">
        <f t="shared" si="8"/>
        <v>36865.383000000002</v>
      </c>
      <c r="D48" s="11" t="str">
        <f t="shared" si="9"/>
        <v>vis</v>
      </c>
      <c r="E48" s="26">
        <f>VLOOKUP(C48,Active!C$21:E$973,3,FALSE)</f>
        <v>326.03992776150608</v>
      </c>
      <c r="F48" s="3" t="s">
        <v>75</v>
      </c>
      <c r="G48" s="11" t="str">
        <f t="shared" si="10"/>
        <v>36865.383</v>
      </c>
      <c r="H48" s="9">
        <f t="shared" si="11"/>
        <v>326</v>
      </c>
      <c r="I48" s="27" t="s">
        <v>111</v>
      </c>
      <c r="J48" s="28" t="s">
        <v>112</v>
      </c>
      <c r="K48" s="27">
        <v>326</v>
      </c>
      <c r="L48" s="27" t="s">
        <v>113</v>
      </c>
      <c r="M48" s="28" t="s">
        <v>81</v>
      </c>
      <c r="N48" s="28"/>
      <c r="O48" s="29" t="s">
        <v>114</v>
      </c>
      <c r="P48" s="29" t="s">
        <v>115</v>
      </c>
    </row>
    <row r="49" spans="1:16" ht="12.75" customHeight="1" thickBot="1" x14ac:dyDescent="0.25">
      <c r="A49" s="9" t="str">
        <f t="shared" si="6"/>
        <v> MSAI 47.241 </v>
      </c>
      <c r="B49" s="3" t="str">
        <f t="shared" si="7"/>
        <v>I</v>
      </c>
      <c r="C49" s="9">
        <f t="shared" si="8"/>
        <v>36877.387000000002</v>
      </c>
      <c r="D49" s="11" t="str">
        <f t="shared" si="9"/>
        <v>vis</v>
      </c>
      <c r="E49" s="26">
        <f>VLOOKUP(C49,Active!C$21:E$973,3,FALSE)</f>
        <v>331.03964453863006</v>
      </c>
      <c r="F49" s="3" t="s">
        <v>75</v>
      </c>
      <c r="G49" s="11" t="str">
        <f t="shared" si="10"/>
        <v>36877.387</v>
      </c>
      <c r="H49" s="9">
        <f t="shared" si="11"/>
        <v>331</v>
      </c>
      <c r="I49" s="27" t="s">
        <v>116</v>
      </c>
      <c r="J49" s="28" t="s">
        <v>117</v>
      </c>
      <c r="K49" s="27">
        <v>331</v>
      </c>
      <c r="L49" s="27" t="s">
        <v>118</v>
      </c>
      <c r="M49" s="28" t="s">
        <v>81</v>
      </c>
      <c r="N49" s="28"/>
      <c r="O49" s="29" t="s">
        <v>114</v>
      </c>
      <c r="P49" s="29" t="s">
        <v>115</v>
      </c>
    </row>
    <row r="50" spans="1:16" ht="12.75" customHeight="1" thickBot="1" x14ac:dyDescent="0.25">
      <c r="A50" s="9" t="str">
        <f t="shared" si="6"/>
        <v> AC 1152 </v>
      </c>
      <c r="B50" s="3" t="str">
        <f t="shared" si="7"/>
        <v>I</v>
      </c>
      <c r="C50" s="9">
        <f t="shared" si="8"/>
        <v>37561.54</v>
      </c>
      <c r="D50" s="11" t="str">
        <f t="shared" si="9"/>
        <v>vis</v>
      </c>
      <c r="E50" s="26">
        <f>VLOOKUP(C50,Active!C$21:E$973,3,FALSE)</f>
        <v>615.9922630174226</v>
      </c>
      <c r="F50" s="3" t="s">
        <v>75</v>
      </c>
      <c r="G50" s="11" t="str">
        <f t="shared" si="10"/>
        <v>37561.54</v>
      </c>
      <c r="H50" s="9">
        <f t="shared" si="11"/>
        <v>616</v>
      </c>
      <c r="I50" s="27" t="s">
        <v>119</v>
      </c>
      <c r="J50" s="28" t="s">
        <v>120</v>
      </c>
      <c r="K50" s="27">
        <v>616</v>
      </c>
      <c r="L50" s="27" t="s">
        <v>121</v>
      </c>
      <c r="M50" s="28" t="s">
        <v>81</v>
      </c>
      <c r="N50" s="28"/>
      <c r="O50" s="29" t="s">
        <v>82</v>
      </c>
      <c r="P50" s="29" t="s">
        <v>83</v>
      </c>
    </row>
    <row r="51" spans="1:16" ht="12.75" customHeight="1" thickBot="1" x14ac:dyDescent="0.25">
      <c r="A51" s="9" t="str">
        <f t="shared" si="6"/>
        <v> VSS 9.133 </v>
      </c>
      <c r="B51" s="3" t="str">
        <f t="shared" si="7"/>
        <v>I</v>
      </c>
      <c r="C51" s="9">
        <f t="shared" si="8"/>
        <v>37561.589</v>
      </c>
      <c r="D51" s="11" t="str">
        <f t="shared" si="9"/>
        <v>vis</v>
      </c>
      <c r="E51" s="26">
        <f>VLOOKUP(C51,Active!C$21:E$973,3,FALSE)</f>
        <v>616.01267172469306</v>
      </c>
      <c r="F51" s="3" t="s">
        <v>75</v>
      </c>
      <c r="G51" s="11" t="str">
        <f t="shared" si="10"/>
        <v>37561.589</v>
      </c>
      <c r="H51" s="9">
        <f t="shared" si="11"/>
        <v>616</v>
      </c>
      <c r="I51" s="27" t="s">
        <v>122</v>
      </c>
      <c r="J51" s="28" t="s">
        <v>123</v>
      </c>
      <c r="K51" s="27">
        <v>616</v>
      </c>
      <c r="L51" s="27" t="s">
        <v>124</v>
      </c>
      <c r="M51" s="28" t="s">
        <v>81</v>
      </c>
      <c r="N51" s="28"/>
      <c r="O51" s="29" t="s">
        <v>92</v>
      </c>
      <c r="P51" s="29" t="s">
        <v>93</v>
      </c>
    </row>
    <row r="52" spans="1:16" ht="12.75" customHeight="1" thickBot="1" x14ac:dyDescent="0.25">
      <c r="A52" s="9" t="str">
        <f t="shared" si="6"/>
        <v> AC 1152 </v>
      </c>
      <c r="B52" s="3" t="str">
        <f t="shared" si="7"/>
        <v>I</v>
      </c>
      <c r="C52" s="9">
        <f t="shared" si="8"/>
        <v>37974.47</v>
      </c>
      <c r="D52" s="11" t="str">
        <f t="shared" si="9"/>
        <v>vis</v>
      </c>
      <c r="E52" s="26">
        <f>VLOOKUP(C52,Active!C$21:E$973,3,FALSE)</f>
        <v>787.97935471832602</v>
      </c>
      <c r="F52" s="3" t="s">
        <v>75</v>
      </c>
      <c r="G52" s="11" t="str">
        <f t="shared" si="10"/>
        <v>37974.47</v>
      </c>
      <c r="H52" s="9">
        <f t="shared" si="11"/>
        <v>788</v>
      </c>
      <c r="I52" s="27" t="s">
        <v>125</v>
      </c>
      <c r="J52" s="28" t="s">
        <v>126</v>
      </c>
      <c r="K52" s="27">
        <v>788</v>
      </c>
      <c r="L52" s="27" t="s">
        <v>127</v>
      </c>
      <c r="M52" s="28" t="s">
        <v>81</v>
      </c>
      <c r="N52" s="28"/>
      <c r="O52" s="29" t="s">
        <v>82</v>
      </c>
      <c r="P52" s="29" t="s">
        <v>83</v>
      </c>
    </row>
    <row r="53" spans="1:16" ht="12.75" customHeight="1" thickBot="1" x14ac:dyDescent="0.25">
      <c r="A53" s="9" t="str">
        <f t="shared" si="6"/>
        <v> VSS 9.133 </v>
      </c>
      <c r="B53" s="3" t="str">
        <f t="shared" si="7"/>
        <v>I</v>
      </c>
      <c r="C53" s="9">
        <f t="shared" si="8"/>
        <v>38327.476000000002</v>
      </c>
      <c r="D53" s="11" t="str">
        <f t="shared" si="9"/>
        <v>vis</v>
      </c>
      <c r="E53" s="26">
        <f>VLOOKUP(C53,Active!C$21:E$973,3,FALSE)</f>
        <v>935.00784693969354</v>
      </c>
      <c r="F53" s="3" t="s">
        <v>75</v>
      </c>
      <c r="G53" s="11" t="str">
        <f t="shared" si="10"/>
        <v>38327.476</v>
      </c>
      <c r="H53" s="9">
        <f t="shared" si="11"/>
        <v>935</v>
      </c>
      <c r="I53" s="27" t="s">
        <v>128</v>
      </c>
      <c r="J53" s="28" t="s">
        <v>129</v>
      </c>
      <c r="K53" s="27">
        <v>935</v>
      </c>
      <c r="L53" s="27" t="s">
        <v>130</v>
      </c>
      <c r="M53" s="28" t="s">
        <v>81</v>
      </c>
      <c r="N53" s="28"/>
      <c r="O53" s="29" t="s">
        <v>92</v>
      </c>
      <c r="P53" s="29" t="s">
        <v>93</v>
      </c>
    </row>
    <row r="54" spans="1:16" ht="12.75" customHeight="1" thickBot="1" x14ac:dyDescent="0.25">
      <c r="A54" s="9" t="str">
        <f t="shared" si="6"/>
        <v> VSS 9.133 </v>
      </c>
      <c r="B54" s="3" t="str">
        <f t="shared" si="7"/>
        <v>I</v>
      </c>
      <c r="C54" s="9">
        <f t="shared" si="8"/>
        <v>38327.483999999997</v>
      </c>
      <c r="D54" s="11" t="str">
        <f t="shared" si="9"/>
        <v>vis</v>
      </c>
      <c r="E54" s="26">
        <f>VLOOKUP(C54,Active!C$21:E$973,3,FALSE)</f>
        <v>935.01117897353129</v>
      </c>
      <c r="F54" s="3" t="s">
        <v>75</v>
      </c>
      <c r="G54" s="11" t="str">
        <f t="shared" si="10"/>
        <v>38327.484</v>
      </c>
      <c r="H54" s="9">
        <f t="shared" si="11"/>
        <v>935</v>
      </c>
      <c r="I54" s="27" t="s">
        <v>131</v>
      </c>
      <c r="J54" s="28" t="s">
        <v>132</v>
      </c>
      <c r="K54" s="27">
        <v>935</v>
      </c>
      <c r="L54" s="27" t="s">
        <v>133</v>
      </c>
      <c r="M54" s="28" t="s">
        <v>81</v>
      </c>
      <c r="N54" s="28"/>
      <c r="O54" s="29" t="s">
        <v>92</v>
      </c>
      <c r="P54" s="29" t="s">
        <v>93</v>
      </c>
    </row>
    <row r="55" spans="1:16" ht="12.75" customHeight="1" thickBot="1" x14ac:dyDescent="0.25">
      <c r="A55" s="9" t="str">
        <f t="shared" si="6"/>
        <v> VSS 9.133 </v>
      </c>
      <c r="B55" s="3" t="str">
        <f t="shared" si="7"/>
        <v>I</v>
      </c>
      <c r="C55" s="9">
        <f t="shared" si="8"/>
        <v>38411.491999999998</v>
      </c>
      <c r="D55" s="11" t="str">
        <f t="shared" si="9"/>
        <v>vis</v>
      </c>
      <c r="E55" s="26">
        <f>VLOOKUP(C55,Active!C$21:E$973,3,FALSE)</f>
        <v>970.00086632879675</v>
      </c>
      <c r="F55" s="3" t="s">
        <v>75</v>
      </c>
      <c r="G55" s="11" t="str">
        <f t="shared" si="10"/>
        <v>38411.492</v>
      </c>
      <c r="H55" s="9">
        <f t="shared" si="11"/>
        <v>970</v>
      </c>
      <c r="I55" s="27" t="s">
        <v>134</v>
      </c>
      <c r="J55" s="28" t="s">
        <v>135</v>
      </c>
      <c r="K55" s="27">
        <v>970</v>
      </c>
      <c r="L55" s="27" t="s">
        <v>136</v>
      </c>
      <c r="M55" s="28" t="s">
        <v>81</v>
      </c>
      <c r="N55" s="28"/>
      <c r="O55" s="29" t="s">
        <v>92</v>
      </c>
      <c r="P55" s="29" t="s">
        <v>93</v>
      </c>
    </row>
    <row r="56" spans="1:16" ht="12.75" customHeight="1" thickBot="1" x14ac:dyDescent="0.25">
      <c r="A56" s="9" t="str">
        <f t="shared" si="6"/>
        <v> VSS 9.133 </v>
      </c>
      <c r="B56" s="3" t="str">
        <f t="shared" si="7"/>
        <v>I</v>
      </c>
      <c r="C56" s="9">
        <f t="shared" si="8"/>
        <v>38464.319000000003</v>
      </c>
      <c r="D56" s="11" t="str">
        <f t="shared" si="9"/>
        <v>vis</v>
      </c>
      <c r="E56" s="26">
        <f>VLOOKUP(C56,Active!C$21:E$973,3,FALSE)</f>
        <v>992.0035352879047</v>
      </c>
      <c r="F56" s="3" t="s">
        <v>75</v>
      </c>
      <c r="G56" s="11" t="str">
        <f t="shared" si="10"/>
        <v>38464.319</v>
      </c>
      <c r="H56" s="9">
        <f t="shared" si="11"/>
        <v>992</v>
      </c>
      <c r="I56" s="27" t="s">
        <v>137</v>
      </c>
      <c r="J56" s="28" t="s">
        <v>138</v>
      </c>
      <c r="K56" s="27">
        <v>992</v>
      </c>
      <c r="L56" s="27" t="s">
        <v>139</v>
      </c>
      <c r="M56" s="28" t="s">
        <v>81</v>
      </c>
      <c r="N56" s="28"/>
      <c r="O56" s="29" t="s">
        <v>92</v>
      </c>
      <c r="P56" s="29" t="s">
        <v>93</v>
      </c>
    </row>
    <row r="57" spans="1:16" ht="12.75" customHeight="1" thickBot="1" x14ac:dyDescent="0.25">
      <c r="A57" s="9" t="str">
        <f t="shared" si="6"/>
        <v> AC 1152 </v>
      </c>
      <c r="B57" s="3" t="str">
        <f t="shared" si="7"/>
        <v>I</v>
      </c>
      <c r="C57" s="9">
        <f t="shared" si="8"/>
        <v>38651.56</v>
      </c>
      <c r="D57" s="11" t="str">
        <f t="shared" si="9"/>
        <v>vis</v>
      </c>
      <c r="E57" s="26">
        <f>VLOOKUP(C57,Active!C$21:E$973,3,FALSE)</f>
        <v>1069.990203820508</v>
      </c>
      <c r="F57" s="3" t="s">
        <v>75</v>
      </c>
      <c r="G57" s="11" t="str">
        <f t="shared" si="10"/>
        <v>38651.56</v>
      </c>
      <c r="H57" s="9">
        <f t="shared" si="11"/>
        <v>1070</v>
      </c>
      <c r="I57" s="27" t="s">
        <v>140</v>
      </c>
      <c r="J57" s="28" t="s">
        <v>141</v>
      </c>
      <c r="K57" s="27">
        <v>1070</v>
      </c>
      <c r="L57" s="27" t="s">
        <v>121</v>
      </c>
      <c r="M57" s="28" t="s">
        <v>81</v>
      </c>
      <c r="N57" s="28"/>
      <c r="O57" s="29" t="s">
        <v>82</v>
      </c>
      <c r="P57" s="29" t="s">
        <v>83</v>
      </c>
    </row>
    <row r="58" spans="1:16" ht="12.75" customHeight="1" thickBot="1" x14ac:dyDescent="0.25">
      <c r="A58" s="9" t="str">
        <f t="shared" si="6"/>
        <v> AN 289.289 </v>
      </c>
      <c r="B58" s="3" t="str">
        <f t="shared" si="7"/>
        <v>I</v>
      </c>
      <c r="C58" s="9">
        <f t="shared" si="8"/>
        <v>38651.563000000002</v>
      </c>
      <c r="D58" s="11" t="str">
        <f t="shared" si="9"/>
        <v>vis</v>
      </c>
      <c r="E58" s="26">
        <f>VLOOKUP(C58,Active!C$21:E$973,3,FALSE)</f>
        <v>1069.9914533331998</v>
      </c>
      <c r="F58" s="3" t="s">
        <v>75</v>
      </c>
      <c r="G58" s="11" t="str">
        <f t="shared" si="10"/>
        <v>38651.563</v>
      </c>
      <c r="H58" s="9">
        <f t="shared" si="11"/>
        <v>1070</v>
      </c>
      <c r="I58" s="27" t="s">
        <v>142</v>
      </c>
      <c r="J58" s="28" t="s">
        <v>143</v>
      </c>
      <c r="K58" s="27">
        <v>1070</v>
      </c>
      <c r="L58" s="27" t="s">
        <v>144</v>
      </c>
      <c r="M58" s="28" t="s">
        <v>81</v>
      </c>
      <c r="N58" s="28"/>
      <c r="O58" s="29" t="s">
        <v>145</v>
      </c>
      <c r="P58" s="29" t="s">
        <v>146</v>
      </c>
    </row>
    <row r="59" spans="1:16" ht="12.75" customHeight="1" thickBot="1" x14ac:dyDescent="0.25">
      <c r="A59" s="9" t="str">
        <f t="shared" si="6"/>
        <v> AN 289.289 </v>
      </c>
      <c r="B59" s="3" t="str">
        <f t="shared" si="7"/>
        <v>I</v>
      </c>
      <c r="C59" s="9">
        <f t="shared" si="8"/>
        <v>38709.336000000003</v>
      </c>
      <c r="D59" s="11" t="str">
        <f t="shared" si="9"/>
        <v>vis</v>
      </c>
      <c r="E59" s="26">
        <f>VLOOKUP(C59,Active!C$21:E$973,3,FALSE)</f>
        <v>1094.0541522139702</v>
      </c>
      <c r="F59" s="3" t="s">
        <v>75</v>
      </c>
      <c r="G59" s="11" t="str">
        <f t="shared" si="10"/>
        <v>38709.336</v>
      </c>
      <c r="H59" s="9">
        <f t="shared" si="11"/>
        <v>1094</v>
      </c>
      <c r="I59" s="27" t="s">
        <v>147</v>
      </c>
      <c r="J59" s="28" t="s">
        <v>148</v>
      </c>
      <c r="K59" s="27">
        <v>1094</v>
      </c>
      <c r="L59" s="27" t="s">
        <v>149</v>
      </c>
      <c r="M59" s="28" t="s">
        <v>81</v>
      </c>
      <c r="N59" s="28"/>
      <c r="O59" s="29" t="s">
        <v>145</v>
      </c>
      <c r="P59" s="29" t="s">
        <v>146</v>
      </c>
    </row>
    <row r="60" spans="1:16" ht="12.75" customHeight="1" thickBot="1" x14ac:dyDescent="0.25">
      <c r="A60" s="9" t="str">
        <f t="shared" si="6"/>
        <v> AN 289.289 </v>
      </c>
      <c r="B60" s="3" t="str">
        <f t="shared" si="7"/>
        <v>I</v>
      </c>
      <c r="C60" s="9">
        <f t="shared" si="8"/>
        <v>38781.307999999997</v>
      </c>
      <c r="D60" s="11" t="str">
        <f t="shared" si="9"/>
        <v>vis</v>
      </c>
      <c r="E60" s="26">
        <f>VLOOKUP(C60,Active!C$21:E$973,3,FALSE)</f>
        <v>1124.0307946567484</v>
      </c>
      <c r="F60" s="3" t="s">
        <v>75</v>
      </c>
      <c r="G60" s="11" t="str">
        <f t="shared" si="10"/>
        <v>38781.308</v>
      </c>
      <c r="H60" s="9">
        <f t="shared" si="11"/>
        <v>1124</v>
      </c>
      <c r="I60" s="27" t="s">
        <v>150</v>
      </c>
      <c r="J60" s="28" t="s">
        <v>151</v>
      </c>
      <c r="K60" s="27">
        <v>1124</v>
      </c>
      <c r="L60" s="27" t="s">
        <v>152</v>
      </c>
      <c r="M60" s="28" t="s">
        <v>81</v>
      </c>
      <c r="N60" s="28"/>
      <c r="O60" s="29" t="s">
        <v>145</v>
      </c>
      <c r="P60" s="29" t="s">
        <v>146</v>
      </c>
    </row>
    <row r="61" spans="1:16" ht="12.75" customHeight="1" thickBot="1" x14ac:dyDescent="0.25">
      <c r="A61" s="9" t="str">
        <f t="shared" si="6"/>
        <v> AC 1152 </v>
      </c>
      <c r="B61" s="3" t="str">
        <f t="shared" si="7"/>
        <v>I</v>
      </c>
      <c r="C61" s="9">
        <f t="shared" si="8"/>
        <v>39028.51</v>
      </c>
      <c r="D61" s="11" t="str">
        <f t="shared" si="9"/>
        <v>vis</v>
      </c>
      <c r="E61" s="26">
        <f>VLOOKUP(C61,Active!C$21:E$973,3,FALSE)</f>
        <v>1226.9914733254029</v>
      </c>
      <c r="F61" s="3" t="s">
        <v>75</v>
      </c>
      <c r="G61" s="11" t="str">
        <f t="shared" si="10"/>
        <v>39028.51</v>
      </c>
      <c r="H61" s="9">
        <f t="shared" si="11"/>
        <v>1227</v>
      </c>
      <c r="I61" s="27" t="s">
        <v>153</v>
      </c>
      <c r="J61" s="28" t="s">
        <v>154</v>
      </c>
      <c r="K61" s="27">
        <v>1227</v>
      </c>
      <c r="L61" s="27" t="s">
        <v>121</v>
      </c>
      <c r="M61" s="28" t="s">
        <v>81</v>
      </c>
      <c r="N61" s="28"/>
      <c r="O61" s="29" t="s">
        <v>82</v>
      </c>
      <c r="P61" s="29" t="s">
        <v>83</v>
      </c>
    </row>
    <row r="62" spans="1:16" ht="12.75" customHeight="1" thickBot="1" x14ac:dyDescent="0.25">
      <c r="A62" s="9" t="str">
        <f t="shared" si="6"/>
        <v> VSS 9.133 </v>
      </c>
      <c r="B62" s="3" t="str">
        <f t="shared" si="7"/>
        <v>I</v>
      </c>
      <c r="C62" s="9">
        <f t="shared" si="8"/>
        <v>39028.512999999999</v>
      </c>
      <c r="D62" s="11" t="str">
        <f t="shared" si="9"/>
        <v>vis</v>
      </c>
      <c r="E62" s="26">
        <f>VLOOKUP(C62,Active!C$21:E$973,3,FALSE)</f>
        <v>1226.9927228380918</v>
      </c>
      <c r="F62" s="3" t="s">
        <v>75</v>
      </c>
      <c r="G62" s="11" t="str">
        <f t="shared" si="10"/>
        <v>39028.513</v>
      </c>
      <c r="H62" s="9">
        <f t="shared" si="11"/>
        <v>1227</v>
      </c>
      <c r="I62" s="27" t="s">
        <v>155</v>
      </c>
      <c r="J62" s="28" t="s">
        <v>156</v>
      </c>
      <c r="K62" s="27">
        <v>1227</v>
      </c>
      <c r="L62" s="27" t="s">
        <v>157</v>
      </c>
      <c r="M62" s="28" t="s">
        <v>81</v>
      </c>
      <c r="N62" s="28"/>
      <c r="O62" s="29" t="s">
        <v>92</v>
      </c>
      <c r="P62" s="29" t="s">
        <v>93</v>
      </c>
    </row>
    <row r="63" spans="1:16" ht="12.75" customHeight="1" thickBot="1" x14ac:dyDescent="0.25">
      <c r="A63" s="9" t="str">
        <f t="shared" si="6"/>
        <v> VSS 9.133 </v>
      </c>
      <c r="B63" s="3" t="str">
        <f t="shared" si="7"/>
        <v>I</v>
      </c>
      <c r="C63" s="9">
        <f t="shared" si="8"/>
        <v>39028.563999999998</v>
      </c>
      <c r="D63" s="11" t="str">
        <f t="shared" si="9"/>
        <v>vis</v>
      </c>
      <c r="E63" s="26">
        <f>VLOOKUP(C63,Active!C$21:E$973,3,FALSE)</f>
        <v>1227.0139645538225</v>
      </c>
      <c r="F63" s="3" t="s">
        <v>75</v>
      </c>
      <c r="G63" s="11" t="str">
        <f t="shared" si="10"/>
        <v>39028.564</v>
      </c>
      <c r="H63" s="9">
        <f t="shared" si="11"/>
        <v>1227</v>
      </c>
      <c r="I63" s="27" t="s">
        <v>158</v>
      </c>
      <c r="J63" s="28" t="s">
        <v>159</v>
      </c>
      <c r="K63" s="27">
        <v>1227</v>
      </c>
      <c r="L63" s="27" t="s">
        <v>160</v>
      </c>
      <c r="M63" s="28" t="s">
        <v>81</v>
      </c>
      <c r="N63" s="28"/>
      <c r="O63" s="29" t="s">
        <v>92</v>
      </c>
      <c r="P63" s="29" t="s">
        <v>93</v>
      </c>
    </row>
    <row r="64" spans="1:16" ht="12.75" customHeight="1" thickBot="1" x14ac:dyDescent="0.25">
      <c r="A64" s="9" t="str">
        <f t="shared" si="6"/>
        <v> VSS 9.133 </v>
      </c>
      <c r="B64" s="3" t="str">
        <f t="shared" si="7"/>
        <v>I</v>
      </c>
      <c r="C64" s="9">
        <f t="shared" si="8"/>
        <v>39441.483</v>
      </c>
      <c r="D64" s="11" t="str">
        <f t="shared" si="9"/>
        <v>vis</v>
      </c>
      <c r="E64" s="26">
        <f>VLOOKUP(C64,Active!C$21:E$973,3,FALSE)</f>
        <v>1398.9964747081963</v>
      </c>
      <c r="F64" s="3" t="s">
        <v>75</v>
      </c>
      <c r="G64" s="11" t="str">
        <f t="shared" si="10"/>
        <v>39441.483</v>
      </c>
      <c r="H64" s="9">
        <f t="shared" si="11"/>
        <v>1399</v>
      </c>
      <c r="I64" s="27" t="s">
        <v>161</v>
      </c>
      <c r="J64" s="28" t="s">
        <v>162</v>
      </c>
      <c r="K64" s="27">
        <v>1399</v>
      </c>
      <c r="L64" s="27" t="s">
        <v>163</v>
      </c>
      <c r="M64" s="28" t="s">
        <v>81</v>
      </c>
      <c r="N64" s="28"/>
      <c r="O64" s="29" t="s">
        <v>92</v>
      </c>
      <c r="P64" s="29" t="s">
        <v>93</v>
      </c>
    </row>
    <row r="65" spans="1:16" ht="12.75" customHeight="1" thickBot="1" x14ac:dyDescent="0.25">
      <c r="A65" s="9" t="str">
        <f t="shared" si="6"/>
        <v> AC 1152 </v>
      </c>
      <c r="B65" s="3" t="str">
        <f t="shared" si="7"/>
        <v>I</v>
      </c>
      <c r="C65" s="9">
        <f t="shared" si="8"/>
        <v>39777.54</v>
      </c>
      <c r="D65" s="11" t="str">
        <f t="shared" si="9"/>
        <v>vis</v>
      </c>
      <c r="E65" s="26">
        <f>VLOOKUP(C65,Active!C$21:E$973,3,FALSE)</f>
        <v>1538.965636735006</v>
      </c>
      <c r="F65" s="3" t="s">
        <v>75</v>
      </c>
      <c r="G65" s="11" t="str">
        <f t="shared" si="10"/>
        <v>39777.54</v>
      </c>
      <c r="H65" s="9">
        <f t="shared" si="11"/>
        <v>1539</v>
      </c>
      <c r="I65" s="27" t="s">
        <v>164</v>
      </c>
      <c r="J65" s="28" t="s">
        <v>165</v>
      </c>
      <c r="K65" s="27">
        <v>1539</v>
      </c>
      <c r="L65" s="27" t="s">
        <v>105</v>
      </c>
      <c r="M65" s="28" t="s">
        <v>81</v>
      </c>
      <c r="N65" s="28"/>
      <c r="O65" s="29" t="s">
        <v>82</v>
      </c>
      <c r="P65" s="29" t="s">
        <v>83</v>
      </c>
    </row>
    <row r="66" spans="1:16" ht="12.75" customHeight="1" thickBot="1" x14ac:dyDescent="0.25">
      <c r="A66" s="9" t="str">
        <f t="shared" si="6"/>
        <v> VSS 9.133 </v>
      </c>
      <c r="B66" s="3" t="str">
        <f t="shared" si="7"/>
        <v>I</v>
      </c>
      <c r="C66" s="9">
        <f t="shared" si="8"/>
        <v>40483.502</v>
      </c>
      <c r="D66" s="11" t="str">
        <f t="shared" si="9"/>
        <v>vis</v>
      </c>
      <c r="E66" s="26">
        <f>VLOOKUP(C66,Active!C$21:E$973,3,FALSE)</f>
        <v>1833.0017959662389</v>
      </c>
      <c r="F66" s="3" t="s">
        <v>75</v>
      </c>
      <c r="G66" s="11" t="str">
        <f t="shared" si="10"/>
        <v>40483.502</v>
      </c>
      <c r="H66" s="9">
        <f t="shared" si="11"/>
        <v>1833</v>
      </c>
      <c r="I66" s="27" t="s">
        <v>166</v>
      </c>
      <c r="J66" s="28" t="s">
        <v>167</v>
      </c>
      <c r="K66" s="27">
        <v>1833</v>
      </c>
      <c r="L66" s="27" t="s">
        <v>168</v>
      </c>
      <c r="M66" s="28" t="s">
        <v>81</v>
      </c>
      <c r="N66" s="28"/>
      <c r="O66" s="29" t="s">
        <v>92</v>
      </c>
      <c r="P66" s="29" t="s">
        <v>93</v>
      </c>
    </row>
    <row r="67" spans="1:16" ht="12.75" customHeight="1" thickBot="1" x14ac:dyDescent="0.25">
      <c r="A67" s="9" t="str">
        <f t="shared" si="6"/>
        <v> VSS 9.133 </v>
      </c>
      <c r="B67" s="3" t="str">
        <f t="shared" si="7"/>
        <v>I</v>
      </c>
      <c r="C67" s="9">
        <f t="shared" si="8"/>
        <v>40507.512999999999</v>
      </c>
      <c r="D67" s="11" t="str">
        <f t="shared" si="9"/>
        <v>vis</v>
      </c>
      <c r="E67" s="26">
        <f>VLOOKUP(C67,Active!C$21:E$973,3,FALSE)</f>
        <v>1843.0024790331756</v>
      </c>
      <c r="F67" s="3" t="s">
        <v>75</v>
      </c>
      <c r="G67" s="11" t="str">
        <f t="shared" si="10"/>
        <v>40507.513</v>
      </c>
      <c r="H67" s="9">
        <f t="shared" si="11"/>
        <v>1843</v>
      </c>
      <c r="I67" s="27" t="s">
        <v>169</v>
      </c>
      <c r="J67" s="28" t="s">
        <v>170</v>
      </c>
      <c r="K67" s="27">
        <v>1843</v>
      </c>
      <c r="L67" s="27" t="s">
        <v>171</v>
      </c>
      <c r="M67" s="28" t="s">
        <v>81</v>
      </c>
      <c r="N67" s="28"/>
      <c r="O67" s="29" t="s">
        <v>92</v>
      </c>
      <c r="P67" s="29" t="s">
        <v>93</v>
      </c>
    </row>
    <row r="68" spans="1:16" ht="12.75" customHeight="1" thickBot="1" x14ac:dyDescent="0.25">
      <c r="A68" s="9" t="str">
        <f t="shared" si="6"/>
        <v> MSAI 47.241 </v>
      </c>
      <c r="B68" s="3" t="str">
        <f t="shared" si="7"/>
        <v>I</v>
      </c>
      <c r="C68" s="9">
        <f t="shared" si="8"/>
        <v>40514.624000000003</v>
      </c>
      <c r="D68" s="11" t="str">
        <f t="shared" si="9"/>
        <v>vis</v>
      </c>
      <c r="E68" s="26">
        <f>VLOOKUP(C68,Active!C$21:E$973,3,FALSE)</f>
        <v>1845.964240612828</v>
      </c>
      <c r="F68" s="3" t="s">
        <v>75</v>
      </c>
      <c r="G68" s="11" t="str">
        <f t="shared" si="10"/>
        <v>40514.624</v>
      </c>
      <c r="H68" s="9">
        <f t="shared" si="11"/>
        <v>1846</v>
      </c>
      <c r="I68" s="27" t="s">
        <v>172</v>
      </c>
      <c r="J68" s="28" t="s">
        <v>173</v>
      </c>
      <c r="K68" s="27">
        <v>1846</v>
      </c>
      <c r="L68" s="27" t="s">
        <v>174</v>
      </c>
      <c r="M68" s="28" t="s">
        <v>81</v>
      </c>
      <c r="N68" s="28"/>
      <c r="O68" s="29" t="s">
        <v>114</v>
      </c>
      <c r="P68" s="29" t="s">
        <v>115</v>
      </c>
    </row>
    <row r="69" spans="1:16" ht="12.75" customHeight="1" thickBot="1" x14ac:dyDescent="0.25">
      <c r="A69" s="9" t="str">
        <f t="shared" si="6"/>
        <v> VSS 9.133 </v>
      </c>
      <c r="B69" s="3" t="str">
        <f t="shared" si="7"/>
        <v>I</v>
      </c>
      <c r="C69" s="9">
        <f t="shared" si="8"/>
        <v>40531.500999999997</v>
      </c>
      <c r="D69" s="11" t="str">
        <f t="shared" si="9"/>
        <v>vis</v>
      </c>
      <c r="E69" s="26">
        <f>VLOOKUP(C69,Active!C$21:E$973,3,FALSE)</f>
        <v>1852.9935825028215</v>
      </c>
      <c r="F69" s="3" t="s">
        <v>75</v>
      </c>
      <c r="G69" s="11" t="str">
        <f t="shared" si="10"/>
        <v>40531.501</v>
      </c>
      <c r="H69" s="9">
        <f t="shared" si="11"/>
        <v>1853</v>
      </c>
      <c r="I69" s="27" t="s">
        <v>175</v>
      </c>
      <c r="J69" s="28" t="s">
        <v>176</v>
      </c>
      <c r="K69" s="27">
        <v>1853</v>
      </c>
      <c r="L69" s="27" t="s">
        <v>177</v>
      </c>
      <c r="M69" s="28" t="s">
        <v>81</v>
      </c>
      <c r="N69" s="28"/>
      <c r="O69" s="29" t="s">
        <v>92</v>
      </c>
      <c r="P69" s="29" t="s">
        <v>93</v>
      </c>
    </row>
    <row r="70" spans="1:16" ht="12.75" customHeight="1" thickBot="1" x14ac:dyDescent="0.25">
      <c r="A70" s="9" t="str">
        <f t="shared" si="6"/>
        <v> MSAI 47.241 </v>
      </c>
      <c r="B70" s="3" t="str">
        <f t="shared" si="7"/>
        <v>I</v>
      </c>
      <c r="C70" s="9">
        <f t="shared" si="8"/>
        <v>40567.470999999998</v>
      </c>
      <c r="D70" s="11" t="str">
        <f t="shared" si="9"/>
        <v>vis</v>
      </c>
      <c r="E70" s="26">
        <f>VLOOKUP(C70,Active!C$21:E$973,3,FALSE)</f>
        <v>1867.975239656532</v>
      </c>
      <c r="F70" s="3" t="s">
        <v>75</v>
      </c>
      <c r="G70" s="11" t="str">
        <f t="shared" si="10"/>
        <v>40567.471</v>
      </c>
      <c r="H70" s="9">
        <f t="shared" si="11"/>
        <v>1868</v>
      </c>
      <c r="I70" s="27" t="s">
        <v>178</v>
      </c>
      <c r="J70" s="28" t="s">
        <v>179</v>
      </c>
      <c r="K70" s="27">
        <v>1868</v>
      </c>
      <c r="L70" s="27" t="s">
        <v>180</v>
      </c>
      <c r="M70" s="28" t="s">
        <v>81</v>
      </c>
      <c r="N70" s="28"/>
      <c r="O70" s="29" t="s">
        <v>114</v>
      </c>
      <c r="P70" s="29" t="s">
        <v>115</v>
      </c>
    </row>
    <row r="71" spans="1:16" ht="12.75" customHeight="1" thickBot="1" x14ac:dyDescent="0.25">
      <c r="A71" s="9" t="str">
        <f t="shared" si="6"/>
        <v> MSAI 47.241 </v>
      </c>
      <c r="B71" s="3" t="str">
        <f t="shared" si="7"/>
        <v>I</v>
      </c>
      <c r="C71" s="9">
        <f t="shared" si="8"/>
        <v>40884.373</v>
      </c>
      <c r="D71" s="11" t="str">
        <f t="shared" si="9"/>
        <v>vis</v>
      </c>
      <c r="E71" s="26">
        <f>VLOOKUP(C71,Active!C$21:E$973,3,FALSE)</f>
        <v>1999.9662631573674</v>
      </c>
      <c r="F71" s="3" t="s">
        <v>75</v>
      </c>
      <c r="G71" s="11" t="str">
        <f t="shared" si="10"/>
        <v>40884.373</v>
      </c>
      <c r="H71" s="9">
        <f t="shared" si="11"/>
        <v>2000</v>
      </c>
      <c r="I71" s="27" t="s">
        <v>181</v>
      </c>
      <c r="J71" s="28" t="s">
        <v>182</v>
      </c>
      <c r="K71" s="27">
        <v>2000</v>
      </c>
      <c r="L71" s="27" t="s">
        <v>183</v>
      </c>
      <c r="M71" s="28" t="s">
        <v>81</v>
      </c>
      <c r="N71" s="28"/>
      <c r="O71" s="29" t="s">
        <v>114</v>
      </c>
      <c r="P71" s="29" t="s">
        <v>115</v>
      </c>
    </row>
    <row r="72" spans="1:16" ht="12.75" customHeight="1" thickBot="1" x14ac:dyDescent="0.25">
      <c r="A72" s="9" t="str">
        <f t="shared" si="6"/>
        <v> AC 1152 </v>
      </c>
      <c r="B72" s="3" t="str">
        <f t="shared" si="7"/>
        <v>I</v>
      </c>
      <c r="C72" s="9">
        <f t="shared" si="8"/>
        <v>41220.54</v>
      </c>
      <c r="D72" s="11" t="str">
        <f t="shared" si="9"/>
        <v>vis</v>
      </c>
      <c r="E72" s="26">
        <f>VLOOKUP(C72,Active!C$21:E$973,3,FALSE)</f>
        <v>2139.9812406494793</v>
      </c>
      <c r="F72" s="3" t="s">
        <v>75</v>
      </c>
      <c r="G72" s="11" t="str">
        <f t="shared" si="10"/>
        <v>41220.54</v>
      </c>
      <c r="H72" s="9">
        <f t="shared" si="11"/>
        <v>2140</v>
      </c>
      <c r="I72" s="27" t="s">
        <v>184</v>
      </c>
      <c r="J72" s="28" t="s">
        <v>185</v>
      </c>
      <c r="K72" s="27">
        <v>2140</v>
      </c>
      <c r="L72" s="27" t="s">
        <v>127</v>
      </c>
      <c r="M72" s="28" t="s">
        <v>81</v>
      </c>
      <c r="N72" s="28"/>
      <c r="O72" s="29" t="s">
        <v>82</v>
      </c>
      <c r="P72" s="29" t="s">
        <v>83</v>
      </c>
    </row>
    <row r="73" spans="1:16" ht="12.75" customHeight="1" thickBot="1" x14ac:dyDescent="0.25">
      <c r="A73" s="9" t="str">
        <f t="shared" si="6"/>
        <v> MSAI 47.241 </v>
      </c>
      <c r="B73" s="3" t="str">
        <f t="shared" si="7"/>
        <v>I</v>
      </c>
      <c r="C73" s="9">
        <f t="shared" si="8"/>
        <v>41242.362999999998</v>
      </c>
      <c r="D73" s="11" t="str">
        <f t="shared" si="9"/>
        <v>vis</v>
      </c>
      <c r="E73" s="26">
        <f>VLOOKUP(C73,Active!C$21:E$973,3,FALSE)</f>
        <v>2149.0706124611379</v>
      </c>
      <c r="F73" s="3" t="s">
        <v>75</v>
      </c>
      <c r="G73" s="11" t="str">
        <f t="shared" si="10"/>
        <v>41242.363</v>
      </c>
      <c r="H73" s="9">
        <f t="shared" si="11"/>
        <v>2149</v>
      </c>
      <c r="I73" s="27" t="s">
        <v>186</v>
      </c>
      <c r="J73" s="28" t="s">
        <v>187</v>
      </c>
      <c r="K73" s="27">
        <v>2149</v>
      </c>
      <c r="L73" s="27" t="s">
        <v>188</v>
      </c>
      <c r="M73" s="28" t="s">
        <v>81</v>
      </c>
      <c r="N73" s="28"/>
      <c r="O73" s="29" t="s">
        <v>114</v>
      </c>
      <c r="P73" s="29" t="s">
        <v>115</v>
      </c>
    </row>
    <row r="74" spans="1:16" ht="12.75" customHeight="1" thickBot="1" x14ac:dyDescent="0.25">
      <c r="A74" s="9" t="str">
        <f t="shared" si="6"/>
        <v> VSS 9.133 </v>
      </c>
      <c r="B74" s="3" t="str">
        <f t="shared" si="7"/>
        <v>I</v>
      </c>
      <c r="C74" s="9">
        <f t="shared" si="8"/>
        <v>41244.557000000001</v>
      </c>
      <c r="D74" s="11" t="str">
        <f t="shared" si="9"/>
        <v>vis</v>
      </c>
      <c r="E74" s="26">
        <f>VLOOKUP(C74,Active!C$21:E$973,3,FALSE)</f>
        <v>2149.9844227417966</v>
      </c>
      <c r="F74" s="3" t="s">
        <v>75</v>
      </c>
      <c r="G74" s="11" t="str">
        <f t="shared" si="10"/>
        <v>41244.557</v>
      </c>
      <c r="H74" s="9">
        <f t="shared" si="11"/>
        <v>2150</v>
      </c>
      <c r="I74" s="27" t="s">
        <v>189</v>
      </c>
      <c r="J74" s="28" t="s">
        <v>190</v>
      </c>
      <c r="K74" s="27">
        <v>2150</v>
      </c>
      <c r="L74" s="27" t="s">
        <v>191</v>
      </c>
      <c r="M74" s="28" t="s">
        <v>81</v>
      </c>
      <c r="N74" s="28"/>
      <c r="O74" s="29" t="s">
        <v>92</v>
      </c>
      <c r="P74" s="29" t="s">
        <v>93</v>
      </c>
    </row>
    <row r="75" spans="1:16" ht="12.75" customHeight="1" thickBot="1" x14ac:dyDescent="0.25">
      <c r="A75" s="9" t="str">
        <f t="shared" ref="A75:A86" si="12">P75</f>
        <v> VSS 9.133 </v>
      </c>
      <c r="B75" s="3" t="str">
        <f t="shared" ref="B75:B86" si="13">IF(H75=INT(H75),"I","II")</f>
        <v>I</v>
      </c>
      <c r="C75" s="9">
        <f t="shared" ref="C75:C86" si="14">1*G75</f>
        <v>41249.377999999997</v>
      </c>
      <c r="D75" s="11" t="str">
        <f t="shared" ref="D75:D86" si="15">VLOOKUP(F75,I$1:J$5,2,FALSE)</f>
        <v>vis</v>
      </c>
      <c r="E75" s="26">
        <f>VLOOKUP(C75,Active!C$21:E$973,3,FALSE)</f>
        <v>2151.9923896347068</v>
      </c>
      <c r="F75" s="3" t="s">
        <v>75</v>
      </c>
      <c r="G75" s="11" t="str">
        <f t="shared" ref="G75:G86" si="16">MID(I75,3,LEN(I75)-3)</f>
        <v>41249.378</v>
      </c>
      <c r="H75" s="9">
        <f t="shared" ref="H75:H86" si="17">1*K75</f>
        <v>2152</v>
      </c>
      <c r="I75" s="27" t="s">
        <v>192</v>
      </c>
      <c r="J75" s="28" t="s">
        <v>193</v>
      </c>
      <c r="K75" s="27">
        <v>2152</v>
      </c>
      <c r="L75" s="27" t="s">
        <v>194</v>
      </c>
      <c r="M75" s="28" t="s">
        <v>81</v>
      </c>
      <c r="N75" s="28"/>
      <c r="O75" s="29" t="s">
        <v>92</v>
      </c>
      <c r="P75" s="29" t="s">
        <v>93</v>
      </c>
    </row>
    <row r="76" spans="1:16" ht="12.75" customHeight="1" thickBot="1" x14ac:dyDescent="0.25">
      <c r="A76" s="9" t="str">
        <f t="shared" si="12"/>
        <v> VSS 9.133 </v>
      </c>
      <c r="B76" s="3" t="str">
        <f t="shared" si="13"/>
        <v>I</v>
      </c>
      <c r="C76" s="9">
        <f t="shared" si="14"/>
        <v>41333.442000000003</v>
      </c>
      <c r="D76" s="11" t="str">
        <f t="shared" si="15"/>
        <v>vis</v>
      </c>
      <c r="E76" s="26">
        <f>VLOOKUP(C76,Active!C$21:E$973,3,FALSE)</f>
        <v>2187.0054012268552</v>
      </c>
      <c r="F76" s="3" t="s">
        <v>75</v>
      </c>
      <c r="G76" s="11" t="str">
        <f t="shared" si="16"/>
        <v>41333.442</v>
      </c>
      <c r="H76" s="9">
        <f t="shared" si="17"/>
        <v>2187</v>
      </c>
      <c r="I76" s="27" t="s">
        <v>195</v>
      </c>
      <c r="J76" s="28" t="s">
        <v>196</v>
      </c>
      <c r="K76" s="27">
        <v>2187</v>
      </c>
      <c r="L76" s="27" t="s">
        <v>197</v>
      </c>
      <c r="M76" s="28" t="s">
        <v>81</v>
      </c>
      <c r="N76" s="28"/>
      <c r="O76" s="29" t="s">
        <v>92</v>
      </c>
      <c r="P76" s="29" t="s">
        <v>93</v>
      </c>
    </row>
    <row r="77" spans="1:16" ht="12.75" customHeight="1" thickBot="1" x14ac:dyDescent="0.25">
      <c r="A77" s="9" t="str">
        <f t="shared" si="12"/>
        <v> VSS 9.133 </v>
      </c>
      <c r="B77" s="3" t="str">
        <f t="shared" si="13"/>
        <v>I</v>
      </c>
      <c r="C77" s="9">
        <f t="shared" si="14"/>
        <v>41350.258999999998</v>
      </c>
      <c r="D77" s="11" t="str">
        <f t="shared" si="15"/>
        <v>vis</v>
      </c>
      <c r="E77" s="26">
        <f>VLOOKUP(C77,Active!C$21:E$973,3,FALSE)</f>
        <v>2194.0097528630481</v>
      </c>
      <c r="F77" s="3" t="s">
        <v>75</v>
      </c>
      <c r="G77" s="11" t="str">
        <f t="shared" si="16"/>
        <v>41350.259</v>
      </c>
      <c r="H77" s="9">
        <f t="shared" si="17"/>
        <v>2194</v>
      </c>
      <c r="I77" s="27" t="s">
        <v>198</v>
      </c>
      <c r="J77" s="28" t="s">
        <v>199</v>
      </c>
      <c r="K77" s="27">
        <v>2194</v>
      </c>
      <c r="L77" s="27" t="s">
        <v>200</v>
      </c>
      <c r="M77" s="28" t="s">
        <v>81</v>
      </c>
      <c r="N77" s="28"/>
      <c r="O77" s="29" t="s">
        <v>92</v>
      </c>
      <c r="P77" s="29" t="s">
        <v>93</v>
      </c>
    </row>
    <row r="78" spans="1:16" ht="12.75" customHeight="1" thickBot="1" x14ac:dyDescent="0.25">
      <c r="A78" s="9" t="str">
        <f t="shared" si="12"/>
        <v> AC 1152 </v>
      </c>
      <c r="B78" s="3" t="str">
        <f t="shared" si="13"/>
        <v>I</v>
      </c>
      <c r="C78" s="9">
        <f t="shared" si="14"/>
        <v>42310.55</v>
      </c>
      <c r="D78" s="11" t="str">
        <f t="shared" si="15"/>
        <v>vis</v>
      </c>
      <c r="E78" s="26">
        <f>VLOOKUP(C78,Active!C$21:E$973,3,FALSE)</f>
        <v>2593.9750164102666</v>
      </c>
      <c r="F78" s="3" t="s">
        <v>75</v>
      </c>
      <c r="G78" s="11" t="str">
        <f t="shared" si="16"/>
        <v>42310.55</v>
      </c>
      <c r="H78" s="9">
        <f t="shared" si="17"/>
        <v>2594</v>
      </c>
      <c r="I78" s="27" t="s">
        <v>201</v>
      </c>
      <c r="J78" s="28" t="s">
        <v>202</v>
      </c>
      <c r="K78" s="27">
        <v>2594</v>
      </c>
      <c r="L78" s="27" t="s">
        <v>203</v>
      </c>
      <c r="M78" s="28" t="s">
        <v>81</v>
      </c>
      <c r="N78" s="28"/>
      <c r="O78" s="29" t="s">
        <v>82</v>
      </c>
      <c r="P78" s="29" t="s">
        <v>83</v>
      </c>
    </row>
    <row r="79" spans="1:16" ht="12.75" customHeight="1" thickBot="1" x14ac:dyDescent="0.25">
      <c r="A79" s="9" t="str">
        <f t="shared" si="12"/>
        <v> AC 1152 </v>
      </c>
      <c r="B79" s="3" t="str">
        <f t="shared" si="13"/>
        <v>I</v>
      </c>
      <c r="C79" s="9">
        <f t="shared" si="14"/>
        <v>42339.46</v>
      </c>
      <c r="D79" s="11" t="str">
        <f t="shared" si="15"/>
        <v>vis</v>
      </c>
      <c r="E79" s="26">
        <f>VLOOKUP(C79,Active!C$21:E$973,3,FALSE)</f>
        <v>2606.0161537000554</v>
      </c>
      <c r="F79" s="3" t="s">
        <v>75</v>
      </c>
      <c r="G79" s="11" t="str">
        <f t="shared" si="16"/>
        <v>42339.46</v>
      </c>
      <c r="H79" s="9">
        <f t="shared" si="17"/>
        <v>2606</v>
      </c>
      <c r="I79" s="27" t="s">
        <v>204</v>
      </c>
      <c r="J79" s="28" t="s">
        <v>205</v>
      </c>
      <c r="K79" s="27">
        <v>2606</v>
      </c>
      <c r="L79" s="27" t="s">
        <v>80</v>
      </c>
      <c r="M79" s="28" t="s">
        <v>81</v>
      </c>
      <c r="N79" s="28"/>
      <c r="O79" s="29" t="s">
        <v>82</v>
      </c>
      <c r="P79" s="29" t="s">
        <v>83</v>
      </c>
    </row>
    <row r="80" spans="1:16" ht="12.75" customHeight="1" thickBot="1" x14ac:dyDescent="0.25">
      <c r="A80" s="9" t="str">
        <f t="shared" si="12"/>
        <v> AC 1152 </v>
      </c>
      <c r="B80" s="3" t="str">
        <f t="shared" si="13"/>
        <v>I</v>
      </c>
      <c r="C80" s="9">
        <f t="shared" si="14"/>
        <v>42363.43</v>
      </c>
      <c r="D80" s="11" t="str">
        <f t="shared" si="15"/>
        <v>vis</v>
      </c>
      <c r="E80" s="26">
        <f>VLOOKUP(C80,Active!C$21:E$973,3,FALSE)</f>
        <v>2615.9997600935626</v>
      </c>
      <c r="F80" s="3" t="s">
        <v>75</v>
      </c>
      <c r="G80" s="11" t="str">
        <f t="shared" si="16"/>
        <v>42363.43</v>
      </c>
      <c r="H80" s="9">
        <f t="shared" si="17"/>
        <v>2616</v>
      </c>
      <c r="I80" s="27" t="s">
        <v>206</v>
      </c>
      <c r="J80" s="28" t="s">
        <v>207</v>
      </c>
      <c r="K80" s="27">
        <v>2616</v>
      </c>
      <c r="L80" s="27" t="s">
        <v>208</v>
      </c>
      <c r="M80" s="28" t="s">
        <v>81</v>
      </c>
      <c r="N80" s="28"/>
      <c r="O80" s="29" t="s">
        <v>82</v>
      </c>
      <c r="P80" s="29" t="s">
        <v>83</v>
      </c>
    </row>
    <row r="81" spans="1:16" ht="12.75" customHeight="1" thickBot="1" x14ac:dyDescent="0.25">
      <c r="A81" s="9" t="str">
        <f t="shared" si="12"/>
        <v> AC 1152 </v>
      </c>
      <c r="B81" s="3" t="str">
        <f t="shared" si="13"/>
        <v>I</v>
      </c>
      <c r="C81" s="9">
        <f t="shared" si="14"/>
        <v>42699.55</v>
      </c>
      <c r="D81" s="11" t="str">
        <f t="shared" si="15"/>
        <v>vis</v>
      </c>
      <c r="E81" s="26">
        <f>VLOOKUP(C81,Active!C$21:E$973,3,FALSE)</f>
        <v>2755.995161886864</v>
      </c>
      <c r="F81" s="3" t="s">
        <v>75</v>
      </c>
      <c r="G81" s="11" t="str">
        <f t="shared" si="16"/>
        <v>42699.55</v>
      </c>
      <c r="H81" s="9">
        <f t="shared" si="17"/>
        <v>2756</v>
      </c>
      <c r="I81" s="27" t="s">
        <v>209</v>
      </c>
      <c r="J81" s="28" t="s">
        <v>210</v>
      </c>
      <c r="K81" s="27">
        <v>2756</v>
      </c>
      <c r="L81" s="27" t="s">
        <v>211</v>
      </c>
      <c r="M81" s="28" t="s">
        <v>81</v>
      </c>
      <c r="N81" s="28"/>
      <c r="O81" s="29" t="s">
        <v>82</v>
      </c>
      <c r="P81" s="29" t="s">
        <v>83</v>
      </c>
    </row>
    <row r="82" spans="1:16" ht="12.75" customHeight="1" thickBot="1" x14ac:dyDescent="0.25">
      <c r="A82" s="9" t="str">
        <f t="shared" si="12"/>
        <v> AC 1152 </v>
      </c>
      <c r="B82" s="3" t="str">
        <f t="shared" si="13"/>
        <v>I</v>
      </c>
      <c r="C82" s="9">
        <f t="shared" si="14"/>
        <v>43429.48</v>
      </c>
      <c r="D82" s="11" t="str">
        <f t="shared" si="15"/>
        <v>vis</v>
      </c>
      <c r="E82" s="26">
        <f>VLOOKUP(C82,Active!C$21:E$973,3,FALSE)</f>
        <v>3060.014094503144</v>
      </c>
      <c r="F82" s="3" t="s">
        <v>75</v>
      </c>
      <c r="G82" s="11" t="str">
        <f t="shared" si="16"/>
        <v>43429.48</v>
      </c>
      <c r="H82" s="9">
        <f t="shared" si="17"/>
        <v>3060</v>
      </c>
      <c r="I82" s="27" t="s">
        <v>212</v>
      </c>
      <c r="J82" s="28" t="s">
        <v>213</v>
      </c>
      <c r="K82" s="27">
        <v>3060</v>
      </c>
      <c r="L82" s="27" t="s">
        <v>214</v>
      </c>
      <c r="M82" s="28" t="s">
        <v>81</v>
      </c>
      <c r="N82" s="28"/>
      <c r="O82" s="29" t="s">
        <v>82</v>
      </c>
      <c r="P82" s="29" t="s">
        <v>83</v>
      </c>
    </row>
    <row r="83" spans="1:16" ht="12.75" customHeight="1" thickBot="1" x14ac:dyDescent="0.25">
      <c r="A83" s="9" t="str">
        <f t="shared" si="12"/>
        <v> AC 1152 </v>
      </c>
      <c r="B83" s="3" t="str">
        <f t="shared" si="13"/>
        <v>I</v>
      </c>
      <c r="C83" s="9">
        <f t="shared" si="14"/>
        <v>43518.3</v>
      </c>
      <c r="D83" s="11" t="str">
        <f t="shared" si="15"/>
        <v>vis</v>
      </c>
      <c r="E83" s="26">
        <f>VLOOKUP(C83,Active!C$21:E$973,3,FALSE)</f>
        <v>3097.0080002132504</v>
      </c>
      <c r="F83" s="3" t="s">
        <v>75</v>
      </c>
      <c r="G83" s="11" t="str">
        <f t="shared" si="16"/>
        <v>43518.30</v>
      </c>
      <c r="H83" s="9">
        <f t="shared" si="17"/>
        <v>3097</v>
      </c>
      <c r="I83" s="27" t="s">
        <v>215</v>
      </c>
      <c r="J83" s="28" t="s">
        <v>216</v>
      </c>
      <c r="K83" s="27">
        <v>3097</v>
      </c>
      <c r="L83" s="27" t="s">
        <v>217</v>
      </c>
      <c r="M83" s="28" t="s">
        <v>81</v>
      </c>
      <c r="N83" s="28"/>
      <c r="O83" s="29" t="s">
        <v>82</v>
      </c>
      <c r="P83" s="29" t="s">
        <v>83</v>
      </c>
    </row>
    <row r="84" spans="1:16" ht="12.75" customHeight="1" thickBot="1" x14ac:dyDescent="0.25">
      <c r="A84" s="9" t="str">
        <f t="shared" si="12"/>
        <v> BRNO 30 </v>
      </c>
      <c r="B84" s="3" t="str">
        <f t="shared" si="13"/>
        <v>I</v>
      </c>
      <c r="C84" s="9">
        <f t="shared" si="14"/>
        <v>47542.250999999997</v>
      </c>
      <c r="D84" s="11" t="str">
        <f t="shared" si="15"/>
        <v>vis</v>
      </c>
      <c r="E84" s="26">
        <f>VLOOKUP(C84,Active!C$21:E$973,3,FALSE)</f>
        <v>4773.0006130942238</v>
      </c>
      <c r="F84" s="3" t="s">
        <v>75</v>
      </c>
      <c r="G84" s="11" t="str">
        <f t="shared" si="16"/>
        <v>47542.251</v>
      </c>
      <c r="H84" s="9">
        <f t="shared" si="17"/>
        <v>4773</v>
      </c>
      <c r="I84" s="27" t="s">
        <v>277</v>
      </c>
      <c r="J84" s="28" t="s">
        <v>278</v>
      </c>
      <c r="K84" s="27">
        <v>4773</v>
      </c>
      <c r="L84" s="27" t="s">
        <v>253</v>
      </c>
      <c r="M84" s="28" t="s">
        <v>221</v>
      </c>
      <c r="N84" s="28"/>
      <c r="O84" s="29" t="s">
        <v>279</v>
      </c>
      <c r="P84" s="29" t="s">
        <v>280</v>
      </c>
    </row>
    <row r="85" spans="1:16" ht="12.75" customHeight="1" thickBot="1" x14ac:dyDescent="0.25">
      <c r="A85" s="9" t="str">
        <f t="shared" si="12"/>
        <v> BRNO 32 </v>
      </c>
      <c r="B85" s="3" t="str">
        <f t="shared" si="13"/>
        <v>I</v>
      </c>
      <c r="C85" s="9">
        <f t="shared" si="14"/>
        <v>51585.422200000001</v>
      </c>
      <c r="D85" s="11" t="str">
        <f t="shared" si="15"/>
        <v>PE</v>
      </c>
      <c r="E85" s="26">
        <f>VLOOKUP(C85,Active!C$21:E$973,3,FALSE)</f>
        <v>6456.9985205769735</v>
      </c>
      <c r="F85" s="3" t="str">
        <f>LEFT(M85,1)</f>
        <v>E</v>
      </c>
      <c r="G85" s="11" t="str">
        <f t="shared" si="16"/>
        <v>51585.4222</v>
      </c>
      <c r="H85" s="9">
        <f t="shared" si="17"/>
        <v>6457</v>
      </c>
      <c r="I85" s="27" t="s">
        <v>296</v>
      </c>
      <c r="J85" s="28" t="s">
        <v>297</v>
      </c>
      <c r="K85" s="27">
        <v>6457</v>
      </c>
      <c r="L85" s="27" t="s">
        <v>298</v>
      </c>
      <c r="M85" s="28" t="s">
        <v>283</v>
      </c>
      <c r="N85" s="28" t="s">
        <v>284</v>
      </c>
      <c r="O85" s="29" t="s">
        <v>290</v>
      </c>
      <c r="P85" s="29" t="s">
        <v>299</v>
      </c>
    </row>
    <row r="86" spans="1:16" ht="12.75" customHeight="1" thickBot="1" x14ac:dyDescent="0.25">
      <c r="A86" s="9" t="str">
        <f t="shared" si="12"/>
        <v>BAVM 212 </v>
      </c>
      <c r="B86" s="3" t="str">
        <f t="shared" si="13"/>
        <v>I</v>
      </c>
      <c r="C86" s="9">
        <f t="shared" si="14"/>
        <v>55155.612800000003</v>
      </c>
      <c r="D86" s="11" t="str">
        <f t="shared" si="15"/>
        <v>vis</v>
      </c>
      <c r="E86" s="26">
        <f>VLOOKUP(C86,Active!C$21:E$973,3,FALSE)</f>
        <v>7943.9980074437635</v>
      </c>
      <c r="F86" s="3" t="s">
        <v>75</v>
      </c>
      <c r="G86" s="11" t="str">
        <f t="shared" si="16"/>
        <v>55155.6128</v>
      </c>
      <c r="H86" s="9">
        <f t="shared" si="17"/>
        <v>7944</v>
      </c>
      <c r="I86" s="27" t="s">
        <v>331</v>
      </c>
      <c r="J86" s="28" t="s">
        <v>332</v>
      </c>
      <c r="K86" s="27" t="s">
        <v>333</v>
      </c>
      <c r="L86" s="27" t="s">
        <v>334</v>
      </c>
      <c r="M86" s="28" t="s">
        <v>303</v>
      </c>
      <c r="N86" s="28" t="s">
        <v>315</v>
      </c>
      <c r="O86" s="29" t="s">
        <v>325</v>
      </c>
      <c r="P86" s="30" t="s">
        <v>335</v>
      </c>
    </row>
    <row r="87" spans="1:16" x14ac:dyDescent="0.2">
      <c r="B87" s="3"/>
      <c r="F87" s="3"/>
    </row>
    <row r="88" spans="1:16" x14ac:dyDescent="0.2">
      <c r="B88" s="3"/>
      <c r="F88" s="3"/>
    </row>
    <row r="89" spans="1:16" x14ac:dyDescent="0.2">
      <c r="B89" s="3"/>
      <c r="F89" s="3"/>
    </row>
    <row r="90" spans="1:16" x14ac:dyDescent="0.2">
      <c r="B90" s="3"/>
      <c r="F90" s="3"/>
    </row>
    <row r="91" spans="1:16" x14ac:dyDescent="0.2">
      <c r="B91" s="3"/>
      <c r="F91" s="3"/>
    </row>
    <row r="92" spans="1:16" x14ac:dyDescent="0.2">
      <c r="B92" s="3"/>
      <c r="F92" s="3"/>
    </row>
    <row r="93" spans="1:16" x14ac:dyDescent="0.2">
      <c r="B93" s="3"/>
      <c r="F93" s="3"/>
    </row>
    <row r="94" spans="1:16" x14ac:dyDescent="0.2">
      <c r="B94" s="3"/>
      <c r="F94" s="3"/>
    </row>
    <row r="95" spans="1:16" x14ac:dyDescent="0.2">
      <c r="B95" s="3"/>
      <c r="F95" s="3"/>
    </row>
    <row r="96" spans="1:1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</sheetData>
  <phoneticPr fontId="7" type="noConversion"/>
  <hyperlinks>
    <hyperlink ref="P29" r:id="rId1" display="http://www.konkoly.hu/cgi-bin/IBVS?4888"/>
    <hyperlink ref="P30" r:id="rId2" display="http://www.konkoly.hu/cgi-bin/IBVS?5263"/>
    <hyperlink ref="P31" r:id="rId3" display="http://var.astro.cz/oejv/issues/oejv0074.pdf"/>
    <hyperlink ref="P32" r:id="rId4" display="http://www.bav-astro.de/sfs/BAVM_link.php?BAVMnr=152"/>
    <hyperlink ref="P33" r:id="rId5" display="http://www.bav-astro.de/sfs/BAVM_link.php?BAVMnr=172"/>
    <hyperlink ref="P34" r:id="rId6" display="http://var.astro.cz/oejv/issues/oejv0003.pdf"/>
    <hyperlink ref="P35" r:id="rId7" display="http://www.bav-astro.de/sfs/BAVM_link.php?BAVMnr=209"/>
    <hyperlink ref="P36" r:id="rId8" display="http://www.bav-astro.de/sfs/BAVM_link.php?BAVMnr=209"/>
    <hyperlink ref="P86" r:id="rId9" display="http://www.bav-astro.de/sfs/BAVM_link.php?BAVMnr=212"/>
    <hyperlink ref="P37" r:id="rId10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2024-03-03T05:12:54Z</dcterms:modified>
</cp:coreProperties>
</file>