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2CAAAA-2DDC-4350-9833-88B30EF58B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C8" i="1"/>
  <c r="E24" i="1"/>
  <c r="F24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40" i="1"/>
  <c r="F40" i="1"/>
  <c r="G40" i="1"/>
  <c r="K40" i="1"/>
  <c r="E51" i="1"/>
  <c r="F51" i="1"/>
  <c r="G51" i="1"/>
  <c r="K51" i="1"/>
  <c r="E52" i="1"/>
  <c r="F52" i="1"/>
  <c r="G52" i="1"/>
  <c r="K52" i="1"/>
  <c r="E60" i="1"/>
  <c r="F60" i="1"/>
  <c r="G60" i="1"/>
  <c r="K60" i="1"/>
  <c r="D9" i="1"/>
  <c r="C9" i="1"/>
  <c r="E38" i="1"/>
  <c r="F38" i="1"/>
  <c r="G38" i="1"/>
  <c r="I38" i="1"/>
  <c r="E39" i="1"/>
  <c r="F39" i="1"/>
  <c r="G39" i="1"/>
  <c r="I39" i="1"/>
  <c r="E41" i="1"/>
  <c r="F41" i="1"/>
  <c r="G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1" i="1"/>
  <c r="F61" i="1"/>
  <c r="G61" i="1"/>
  <c r="I61" i="1"/>
  <c r="E62" i="1"/>
  <c r="F62" i="1"/>
  <c r="G62" i="1"/>
  <c r="I62" i="1"/>
  <c r="E22" i="1"/>
  <c r="F22" i="1"/>
  <c r="Q60" i="1"/>
  <c r="Q52" i="1"/>
  <c r="Q51" i="1"/>
  <c r="Q40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27" i="2"/>
  <c r="C27" i="2"/>
  <c r="E27" i="2"/>
  <c r="G26" i="2"/>
  <c r="C26" i="2"/>
  <c r="E26" i="2"/>
  <c r="G51" i="2"/>
  <c r="C51" i="2"/>
  <c r="E51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50" i="2"/>
  <c r="C50" i="2"/>
  <c r="E50" i="2"/>
  <c r="G49" i="2"/>
  <c r="C49" i="2"/>
  <c r="E49" i="2"/>
  <c r="G48" i="2"/>
  <c r="C48" i="2"/>
  <c r="E48" i="2"/>
  <c r="G19" i="2"/>
  <c r="C19" i="2"/>
  <c r="E19" i="2"/>
  <c r="G18" i="2"/>
  <c r="C18" i="2"/>
  <c r="E18" i="2"/>
  <c r="G47" i="2"/>
  <c r="C47" i="2"/>
  <c r="E47" i="2"/>
  <c r="G46" i="2"/>
  <c r="C46" i="2"/>
  <c r="E46" i="2"/>
  <c r="G45" i="2"/>
  <c r="C45" i="2"/>
  <c r="E45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44" i="2"/>
  <c r="C44" i="2"/>
  <c r="E44" i="2"/>
  <c r="G12" i="2"/>
  <c r="C12" i="2"/>
  <c r="E12" i="2"/>
  <c r="G11" i="2"/>
  <c r="C11" i="2"/>
  <c r="E11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G31" i="2"/>
  <c r="C31" i="2"/>
  <c r="G30" i="2"/>
  <c r="C30" i="2"/>
  <c r="E30" i="2"/>
  <c r="G29" i="2"/>
  <c r="C29" i="2"/>
  <c r="G28" i="2"/>
  <c r="C28" i="2"/>
  <c r="E28" i="2"/>
  <c r="H27" i="2"/>
  <c r="B27" i="2"/>
  <c r="D27" i="2"/>
  <c r="A27" i="2"/>
  <c r="H26" i="2"/>
  <c r="D26" i="2"/>
  <c r="B26" i="2"/>
  <c r="A26" i="2"/>
  <c r="H51" i="2"/>
  <c r="B51" i="2"/>
  <c r="D51" i="2"/>
  <c r="A5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50" i="2"/>
  <c r="D50" i="2"/>
  <c r="B50" i="2"/>
  <c r="A50" i="2"/>
  <c r="H49" i="2"/>
  <c r="B49" i="2"/>
  <c r="D49" i="2"/>
  <c r="A49" i="2"/>
  <c r="H48" i="2"/>
  <c r="D48" i="2"/>
  <c r="B48" i="2"/>
  <c r="A48" i="2"/>
  <c r="H19" i="2"/>
  <c r="B19" i="2"/>
  <c r="D19" i="2"/>
  <c r="A19" i="2"/>
  <c r="H18" i="2"/>
  <c r="D18" i="2"/>
  <c r="B18" i="2"/>
  <c r="A18" i="2"/>
  <c r="H47" i="2"/>
  <c r="B47" i="2"/>
  <c r="D47" i="2"/>
  <c r="A47" i="2"/>
  <c r="H46" i="2"/>
  <c r="D46" i="2"/>
  <c r="B46" i="2"/>
  <c r="A46" i="2"/>
  <c r="H45" i="2"/>
  <c r="B45" i="2"/>
  <c r="D45" i="2"/>
  <c r="A45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44" i="2"/>
  <c r="B44" i="2"/>
  <c r="D44" i="2"/>
  <c r="A44" i="2"/>
  <c r="H12" i="2"/>
  <c r="D12" i="2"/>
  <c r="B12" i="2"/>
  <c r="A12" i="2"/>
  <c r="H11" i="2"/>
  <c r="B11" i="2"/>
  <c r="D11" i="2"/>
  <c r="A11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Q62" i="1"/>
  <c r="Q59" i="1"/>
  <c r="Q58" i="1"/>
  <c r="Q57" i="1"/>
  <c r="Q61" i="1"/>
  <c r="Q56" i="1"/>
  <c r="Q54" i="1"/>
  <c r="Q50" i="1"/>
  <c r="Q49" i="1"/>
  <c r="Q53" i="1"/>
  <c r="Q55" i="1"/>
  <c r="F16" i="1"/>
  <c r="F17" i="1" s="1"/>
  <c r="C17" i="1"/>
  <c r="Q46" i="1"/>
  <c r="Q47" i="1"/>
  <c r="Q48" i="1"/>
  <c r="Q44" i="1"/>
  <c r="Q45" i="1"/>
  <c r="Q43" i="1"/>
  <c r="Q39" i="1"/>
  <c r="Q42" i="1"/>
  <c r="I41" i="1"/>
  <c r="Q41" i="1"/>
  <c r="Q38" i="1"/>
  <c r="Q22" i="1"/>
  <c r="E32" i="2"/>
  <c r="E29" i="2"/>
  <c r="G23" i="1"/>
  <c r="K23" i="1"/>
  <c r="E26" i="1"/>
  <c r="F26" i="1"/>
  <c r="G26" i="1"/>
  <c r="K26" i="1"/>
  <c r="E23" i="1"/>
  <c r="F23" i="1"/>
  <c r="G21" i="1"/>
  <c r="K21" i="1"/>
  <c r="E25" i="1"/>
  <c r="G24" i="1"/>
  <c r="K24" i="1"/>
  <c r="E31" i="2"/>
  <c r="F25" i="1"/>
  <c r="G25" i="1"/>
  <c r="K25" i="1"/>
  <c r="C11" i="1"/>
  <c r="C12" i="1"/>
  <c r="C16" i="1" l="1"/>
  <c r="D18" i="1" s="1"/>
  <c r="O36" i="1"/>
  <c r="O42" i="1"/>
  <c r="O48" i="1"/>
  <c r="O34" i="1"/>
  <c r="O40" i="1"/>
  <c r="O47" i="1"/>
  <c r="O32" i="1"/>
  <c r="O57" i="1"/>
  <c r="O23" i="1"/>
  <c r="O27" i="1"/>
  <c r="O55" i="1"/>
  <c r="O62" i="1"/>
  <c r="O26" i="1"/>
  <c r="O37" i="1"/>
  <c r="O21" i="1"/>
  <c r="O45" i="1"/>
  <c r="O33" i="1"/>
  <c r="O31" i="1"/>
  <c r="O43" i="1"/>
  <c r="O54" i="1"/>
  <c r="O46" i="1"/>
  <c r="C15" i="1"/>
  <c r="O59" i="1"/>
  <c r="O52" i="1"/>
  <c r="O56" i="1"/>
  <c r="O61" i="1"/>
  <c r="O49" i="1"/>
  <c r="O50" i="1"/>
  <c r="O29" i="1"/>
  <c r="O58" i="1"/>
  <c r="O35" i="1"/>
  <c r="O24" i="1"/>
  <c r="O51" i="1"/>
  <c r="O44" i="1"/>
  <c r="O28" i="1"/>
  <c r="O41" i="1"/>
  <c r="O38" i="1"/>
  <c r="O39" i="1"/>
  <c r="O30" i="1"/>
  <c r="O60" i="1"/>
  <c r="O22" i="1"/>
  <c r="O25" i="1"/>
  <c r="O53" i="1"/>
  <c r="F18" i="1" l="1"/>
  <c r="F19" i="1" s="1"/>
  <c r="C18" i="1"/>
</calcChain>
</file>

<file path=xl/sharedStrings.xml><?xml version="1.0" encoding="utf-8"?>
<sst xmlns="http://schemas.openxmlformats.org/spreadsheetml/2006/main" count="463" uniqueCount="250">
  <si>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</si>
  <si>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</si>
  <si>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</si>
  <si>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</si>
  <si>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</si>
  <si>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</si>
  <si>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</si>
  <si>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</si>
  <si>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</si>
  <si>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</si>
  <si>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</si>
  <si>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</si>
  <si>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</si>
  <si>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</si>
  <si>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</si>
  <si>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</si>
  <si>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</si>
  <si>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</si>
  <si>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</si>
  <si>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</si>
  <si>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</si>
  <si>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</si>
  <si>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</si>
  <si>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</si>
  <si>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</si>
  <si>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</si>
  <si>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</si>
  <si>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</si>
  <si>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</t>
  </si>
  <si>
    <t>IBVS 5378</t>
  </si>
  <si>
    <t>IBVS 4383</t>
  </si>
  <si>
    <t>IBVS 5643</t>
  </si>
  <si>
    <t>EA</t>
  </si>
  <si>
    <t># of data points:</t>
  </si>
  <si>
    <t>IBVS 5657</t>
  </si>
  <si>
    <t>IBVS 5731</t>
  </si>
  <si>
    <t>02 59 15.35 +41 45 23.5</t>
  </si>
  <si>
    <t>Ref: IBVS 5764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</si>
  <si>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</si>
  <si>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</si>
  <si>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</si>
  <si>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</si>
  <si>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</si>
  <si>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</si>
  <si>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</si>
  <si>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</si>
  <si>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Add cycle</t>
  </si>
  <si>
    <t>Old Cycle</t>
  </si>
  <si>
    <t>OEJV 0137</t>
  </si>
  <si>
    <t>IBVS 5918</t>
  </si>
  <si>
    <t>II</t>
  </si>
  <si>
    <t>IBVS 6010</t>
  </si>
  <si>
    <t>IBVS 6011</t>
  </si>
  <si>
    <t>IBVS 6042</t>
  </si>
  <si>
    <t>OEJV 0160</t>
  </si>
  <si>
    <t>V0450 Per / gsc 2854-2535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</si>
  <si>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</si>
  <si>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</si>
  <si>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</si>
  <si>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</si>
  <si>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</si>
  <si>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</si>
  <si>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</si>
  <si>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</si>
  <si>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</si>
  <si>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</si>
  <si>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</si>
  <si>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</si>
  <si>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</si>
  <si>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2438407.445 </t>
  </si>
  <si>
    <t> 12.01.1964 22:40 </t>
  </si>
  <si>
    <t> -0.001 </t>
  </si>
  <si>
    <t>P </t>
  </si>
  <si>
    <t> Häussler &amp; Busch </t>
  </si>
  <si>
    <t> VSS 9.132 </t>
  </si>
  <si>
    <t>2438739.436 </t>
  </si>
  <si>
    <t> 09.12.1964 22:27 </t>
  </si>
  <si>
    <t> -0.043 </t>
  </si>
  <si>
    <t> C.Hoffmeister </t>
  </si>
  <si>
    <t> AN 289.140 </t>
  </si>
  <si>
    <t>2438739.479 </t>
  </si>
  <si>
    <t> 09.12.1964 23:29 </t>
  </si>
  <si>
    <t> -0.000 </t>
  </si>
  <si>
    <t>2439055.402 </t>
  </si>
  <si>
    <t> 21.10.1965 21:38 </t>
  </si>
  <si>
    <t> 0.017 </t>
  </si>
  <si>
    <t>2439385.519 </t>
  </si>
  <si>
    <t> 17.09.1966 00:27 </t>
  </si>
  <si>
    <t> -0.002 </t>
  </si>
  <si>
    <t>2439775.436 </t>
  </si>
  <si>
    <t> 11.10.1967 22:27 </t>
  </si>
  <si>
    <t> 0.014 </t>
  </si>
  <si>
    <t>2440258.264 </t>
  </si>
  <si>
    <t> 05.02.1969 18:20 </t>
  </si>
  <si>
    <t> -0.029 </t>
  </si>
  <si>
    <t>2440476.480 </t>
  </si>
  <si>
    <t> 11.09.1969 23:31 </t>
  </si>
  <si>
    <t> -0.007 </t>
  </si>
  <si>
    <t>2440477.448 </t>
  </si>
  <si>
    <t> 12.09.1969 22:45 </t>
  </si>
  <si>
    <t> 0.013 </t>
  </si>
  <si>
    <t>2440511.592 </t>
  </si>
  <si>
    <t> 17.10.1969 02:12 </t>
  </si>
  <si>
    <t> 0.005 </t>
  </si>
  <si>
    <t>2440512.528 </t>
  </si>
  <si>
    <t> 18.10.1969 00:40 </t>
  </si>
  <si>
    <t> -0.008 </t>
  </si>
  <si>
    <t>2440513.471 </t>
  </si>
  <si>
    <t> 18.10.1969 23:18 </t>
  </si>
  <si>
    <t> -0.014 </t>
  </si>
  <si>
    <t>2440531.501 </t>
  </si>
  <si>
    <t> 06.11.1969 00:01 </t>
  </si>
  <si>
    <t>2442807.358 </t>
  </si>
  <si>
    <t> 29.01.1976 20:35 </t>
  </si>
  <si>
    <t>2447847.646 </t>
  </si>
  <si>
    <t> 17.11.1989 03:30 </t>
  </si>
  <si>
    <t> 0.025 </t>
  </si>
  <si>
    <t> Moschner&amp;Kleikamp </t>
  </si>
  <si>
    <t>BAVM 56 </t>
  </si>
  <si>
    <t>2448647.371 </t>
  </si>
  <si>
    <t> 25.01.1992 20:54 </t>
  </si>
  <si>
    <t> 0.024 </t>
  </si>
  <si>
    <t>BAVM 68 </t>
  </si>
  <si>
    <t>2449658.6466 </t>
  </si>
  <si>
    <t> 02.11.1994 03:31 </t>
  </si>
  <si>
    <t> 0.0218 </t>
  </si>
  <si>
    <t>E </t>
  </si>
  <si>
    <t>o</t>
  </si>
  <si>
    <t> W.Moschner </t>
  </si>
  <si>
    <t>BAVM 91 </t>
  </si>
  <si>
    <t>2451434.5780 </t>
  </si>
  <si>
    <t> 13.09.1999 01:52 </t>
  </si>
  <si>
    <t> 0.0505 </t>
  </si>
  <si>
    <t>BAVM 172 </t>
  </si>
  <si>
    <t>2452253.2882 </t>
  </si>
  <si>
    <t> 09.12.2001 18:55 </t>
  </si>
  <si>
    <t> 0.0619 </t>
  </si>
  <si>
    <t>?</t>
  </si>
  <si>
    <t> E.Blättler </t>
  </si>
  <si>
    <t> BBS 127 </t>
  </si>
  <si>
    <t>2452596.7098 </t>
  </si>
  <si>
    <t> 18.11.2002 05:02 </t>
  </si>
  <si>
    <t> 0.0664 </t>
  </si>
  <si>
    <t> S.Dvorak </t>
  </si>
  <si>
    <t>IBVS 5378 </t>
  </si>
  <si>
    <t>2452913.5659 </t>
  </si>
  <si>
    <t> 01.10.2003 01:34 </t>
  </si>
  <si>
    <t> 0.0681 </t>
  </si>
  <si>
    <t>-I</t>
  </si>
  <si>
    <t> K. &amp; M. Rätz </t>
  </si>
  <si>
    <t>2453266.4754 </t>
  </si>
  <si>
    <t> 17.09.2004 23:24 </t>
  </si>
  <si>
    <t>15663</t>
  </si>
  <si>
    <t> 0.0738 </t>
  </si>
  <si>
    <t> Moschner &amp; Frank </t>
  </si>
  <si>
    <t>BAVM 173 </t>
  </si>
  <si>
    <t>2453302.5235 </t>
  </si>
  <si>
    <t> 24.10.2004 00:33 </t>
  </si>
  <si>
    <t>15701</t>
  </si>
  <si>
    <t> 0.0726 </t>
  </si>
  <si>
    <t> R. Diethelm </t>
  </si>
  <si>
    <t>IBVS 5653 </t>
  </si>
  <si>
    <t>2453673.4553 </t>
  </si>
  <si>
    <t> 29.10.2005 22:55 </t>
  </si>
  <si>
    <t>16092</t>
  </si>
  <si>
    <t> 0.0760 </t>
  </si>
  <si>
    <t>C </t>
  </si>
  <si>
    <t> Moschner </t>
  </si>
  <si>
    <t>BAVM 178 </t>
  </si>
  <si>
    <t>2453751.2486 </t>
  </si>
  <si>
    <t> 15.01.2006 17:57 </t>
  </si>
  <si>
    <t>16174</t>
  </si>
  <si>
    <t> 0.0787 </t>
  </si>
  <si>
    <t>R</t>
  </si>
  <si>
    <t> M.Lehky </t>
  </si>
  <si>
    <t>OEJV 0107 </t>
  </si>
  <si>
    <t>2453987.4674 </t>
  </si>
  <si>
    <t> 08.09.2006 23:13 </t>
  </si>
  <si>
    <t>16423</t>
  </si>
  <si>
    <t> 0.0797 </t>
  </si>
  <si>
    <t>2454318.5606 </t>
  </si>
  <si>
    <t> 06.08.2007 01:27 </t>
  </si>
  <si>
    <t>16772</t>
  </si>
  <si>
    <t> 0.0884 </t>
  </si>
  <si>
    <t>2454831.3219 </t>
  </si>
  <si>
    <t> 30.12.2008 19:43 </t>
  </si>
  <si>
    <t>17312.5</t>
  </si>
  <si>
    <t> 0.0958 </t>
  </si>
  <si>
    <t> F.Agerer </t>
  </si>
  <si>
    <t>BAVM 209 </t>
  </si>
  <si>
    <t>2454842.2314 </t>
  </si>
  <si>
    <t> 10.01.2009 17:33 </t>
  </si>
  <si>
    <t>17324</t>
  </si>
  <si>
    <t> 0.0956 </t>
  </si>
  <si>
    <t>2455075.6073 </t>
  </si>
  <si>
    <t> 01.09.2009 02:34 </t>
  </si>
  <si>
    <t>17570</t>
  </si>
  <si>
    <t> 0.0997 </t>
  </si>
  <si>
    <t>BAVM 212 </t>
  </si>
  <si>
    <t>2455155.2975 </t>
  </si>
  <si>
    <t> 19.11.2009 19:08 </t>
  </si>
  <si>
    <t>17654</t>
  </si>
  <si>
    <t> 0.1019 </t>
  </si>
  <si>
    <t>2455156.2466 </t>
  </si>
  <si>
    <t> 20.11.2009 17:55 </t>
  </si>
  <si>
    <t>17655</t>
  </si>
  <si>
    <t> 0.1024 </t>
  </si>
  <si>
    <t>OEJV 0137 </t>
  </si>
  <si>
    <t>2455446.5417 </t>
  </si>
  <si>
    <t> 07.09.2010 01:00 </t>
  </si>
  <si>
    <t>17961</t>
  </si>
  <si>
    <t> 0.1057 </t>
  </si>
  <si>
    <t> W.Moschner &amp; P.Frank </t>
  </si>
  <si>
    <t>BAVM 220 </t>
  </si>
  <si>
    <t>2455463.6181 </t>
  </si>
  <si>
    <t> 24.09.2010 02:50 </t>
  </si>
  <si>
    <t>17979</t>
  </si>
  <si>
    <t> 0.1061 </t>
  </si>
  <si>
    <t>2455846.8893 </t>
  </si>
  <si>
    <t> 12.10.2011 09:20 </t>
  </si>
  <si>
    <t>18383</t>
  </si>
  <si>
    <t> 0.1162 </t>
  </si>
  <si>
    <t> R.Diethelm </t>
  </si>
  <si>
    <t>IBVS 6011 </t>
  </si>
  <si>
    <t>2455855.4243 </t>
  </si>
  <si>
    <t> 20.10.2011 22:10 </t>
  </si>
  <si>
    <t>18392</t>
  </si>
  <si>
    <t> 0.1132 </t>
  </si>
  <si>
    <t> J.Trnka </t>
  </si>
  <si>
    <t>OEJV 0160 </t>
  </si>
  <si>
    <t>2455855.42479 </t>
  </si>
  <si>
    <t> 20.10.2011 22:11 </t>
  </si>
  <si>
    <t> 0.11372 </t>
  </si>
  <si>
    <t>2455855.42528 </t>
  </si>
  <si>
    <t> 20.10.2011 22:12 </t>
  </si>
  <si>
    <t> 0.11421 </t>
  </si>
  <si>
    <t>2455894.3200 </t>
  </si>
  <si>
    <t> 28.11.2011 19:40 </t>
  </si>
  <si>
    <t>18433</t>
  </si>
  <si>
    <t> 0.1136 </t>
  </si>
  <si>
    <t>BAVM 225 </t>
  </si>
  <si>
    <t>2456215.9226 </t>
  </si>
  <si>
    <t> 15.10.2012 10:08 </t>
  </si>
  <si>
    <t> 0.1184 </t>
  </si>
  <si>
    <t>IBVS 6042 </t>
  </si>
  <si>
    <t>2456963.4826 </t>
  </si>
  <si>
    <t> 01.11.2014 23:34 </t>
  </si>
  <si>
    <t> 0.1296 </t>
  </si>
  <si>
    <t>BAVM 239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</si>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</sst>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V0450 Per - O-C Diagr.</a:t>
            </a:r>
          </a:p>
        </c:rich>
      </c:tx>
      <c:layout>
        <c:manualLayout>
          <c:xMode val="edge"/>
          <c:yMode val="edge"/>
          <c:x val="0.368336365062606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7-4678-AF4A-29B4D374FE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7">
                  <c:v>7.8399999983957969E-3</c:v>
                </c:pt>
                <c:pt idx="18">
                  <c:v>3.6488000005192589E-2</c:v>
                </c:pt>
                <c:pt idx="20">
                  <c:v>5.2437999998801388E-2</c:v>
                </c:pt>
                <c:pt idx="21">
                  <c:v>5.4094000006443821E-2</c:v>
                </c:pt>
                <c:pt idx="22">
                  <c:v>5.9842000002390705E-2</c:v>
                </c:pt>
                <c:pt idx="23">
                  <c:v>5.8634000008169096E-2</c:v>
                </c:pt>
                <c:pt idx="24">
                  <c:v>6.2028000000282191E-2</c:v>
                </c:pt>
                <c:pt idx="25">
                  <c:v>6.4766000003146473E-2</c:v>
                </c:pt>
                <c:pt idx="26">
                  <c:v>6.5741999998863321E-2</c:v>
                </c:pt>
                <c:pt idx="27">
                  <c:v>7.4458000002778135E-2</c:v>
                </c:pt>
                <c:pt idx="28">
                  <c:v>8.1775000006018672E-2</c:v>
                </c:pt>
                <c:pt idx="29">
                  <c:v>8.1615999995847233E-2</c:v>
                </c:pt>
                <c:pt idx="32">
                  <c:v>8.8409999996656552E-2</c:v>
                </c:pt>
                <c:pt idx="33">
                  <c:v>9.1674000002967659E-2</c:v>
                </c:pt>
                <c:pt idx="34">
                  <c:v>9.2085999996925239E-2</c:v>
                </c:pt>
                <c:pt idx="35">
                  <c:v>0.10222200000862358</c:v>
                </c:pt>
                <c:pt idx="36">
                  <c:v>9.9227999999129679E-2</c:v>
                </c:pt>
                <c:pt idx="37">
                  <c:v>9.9717999997665174E-2</c:v>
                </c:pt>
                <c:pt idx="38">
                  <c:v>0.10020800000347663</c:v>
                </c:pt>
                <c:pt idx="40">
                  <c:v>0.10444799999822862</c:v>
                </c:pt>
                <c:pt idx="41">
                  <c:v>0.11564000000362284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7-4678-AF4A-29B4D374FE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7-4678-AF4A-29B4D374FE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0">
                  <c:v>-1.4999999999417923E-2</c:v>
                </c:pt>
                <c:pt idx="2">
                  <c:v>-5.7099999998172279E-2</c:v>
                </c:pt>
                <c:pt idx="3">
                  <c:v>-1.4100000000325963E-2</c:v>
                </c:pt>
                <c:pt idx="4">
                  <c:v>3.1220000018947758E-3</c:v>
                </c:pt>
                <c:pt idx="5">
                  <c:v>-1.5645999999833293E-2</c:v>
                </c:pt>
                <c:pt idx="6">
                  <c:v>-3.7199999496806413E-4</c:v>
                </c:pt>
                <c:pt idx="7">
                  <c:v>-4.3365999998059124E-2</c:v>
                </c:pt>
                <c:pt idx="8">
                  <c:v>-2.0545999992464203E-2</c:v>
                </c:pt>
                <c:pt idx="9">
                  <c:v>-1.2120000028517097E-3</c:v>
                </c:pt>
                <c:pt idx="10">
                  <c:v>-9.1880000036326237E-3</c:v>
                </c:pt>
                <c:pt idx="11">
                  <c:v>-2.1853999998711515E-2</c:v>
                </c:pt>
                <c:pt idx="12">
                  <c:v>-2.7520000003278255E-2</c:v>
                </c:pt>
                <c:pt idx="13">
                  <c:v>-2.217400000517955E-2</c:v>
                </c:pt>
                <c:pt idx="14">
                  <c:v>-1.4907999997376464E-2</c:v>
                </c:pt>
                <c:pt idx="15">
                  <c:v>1.0633999998390209E-2</c:v>
                </c:pt>
                <c:pt idx="16">
                  <c:v>1.0196000002906658E-2</c:v>
                </c:pt>
                <c:pt idx="19">
                  <c:v>4.7930000007909257E-2</c:v>
                </c:pt>
                <c:pt idx="30">
                  <c:v>8.5680000003776513E-2</c:v>
                </c:pt>
                <c:pt idx="31">
                  <c:v>8.7935999996261671E-2</c:v>
                </c:pt>
                <c:pt idx="39">
                  <c:v>9.962200000154553E-2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7-4678-AF4A-29B4D374FE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7-4678-AF4A-29B4D374FE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7-4678-AF4A-29B4D374FE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87-4678-AF4A-29B4D374FE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-0.18612185105703807</c:v>
                </c:pt>
                <c:pt idx="1">
                  <c:v>-0.18612185105703807</c:v>
                </c:pt>
                <c:pt idx="2">
                  <c:v>-0.18069355948824214</c:v>
                </c:pt>
                <c:pt idx="3">
                  <c:v>-0.18069355948824214</c:v>
                </c:pt>
                <c:pt idx="4">
                  <c:v>-0.17552892779564486</c:v>
                </c:pt>
                <c:pt idx="5">
                  <c:v>-0.17013165503581348</c:v>
                </c:pt>
                <c:pt idx="6">
                  <c:v>-0.16375728979359883</c:v>
                </c:pt>
                <c:pt idx="7">
                  <c:v>-0.1558630029121213</c:v>
                </c:pt>
                <c:pt idx="8">
                  <c:v>-0.15229583988119827</c:v>
                </c:pt>
                <c:pt idx="9">
                  <c:v>-0.15228033047671599</c:v>
                </c:pt>
                <c:pt idx="10">
                  <c:v>-0.15172199191535413</c:v>
                </c:pt>
                <c:pt idx="11">
                  <c:v>-0.15170648251087185</c:v>
                </c:pt>
                <c:pt idx="12">
                  <c:v>-0.15169097310638957</c:v>
                </c:pt>
                <c:pt idx="13">
                  <c:v>-0.15139629442122637</c:v>
                </c:pt>
                <c:pt idx="14">
                  <c:v>-0.11418923306825081</c:v>
                </c:pt>
                <c:pt idx="15">
                  <c:v>-3.1787767053928523E-2</c:v>
                </c:pt>
                <c:pt idx="16">
                  <c:v>-1.8713339075371455E-2</c:v>
                </c:pt>
                <c:pt idx="17">
                  <c:v>-2.1803138972672775E-3</c:v>
                </c:pt>
                <c:pt idx="18">
                  <c:v>2.6853291293549825E-2</c:v>
                </c:pt>
                <c:pt idx="19">
                  <c:v>4.0237907361752367E-2</c:v>
                </c:pt>
                <c:pt idx="20">
                  <c:v>4.5852311784335603E-2</c:v>
                </c:pt>
                <c:pt idx="21">
                  <c:v>5.1032452881415141E-2</c:v>
                </c:pt>
                <c:pt idx="22">
                  <c:v>5.68019513488211E-2</c:v>
                </c:pt>
                <c:pt idx="23">
                  <c:v>5.7391308719147521E-2</c:v>
                </c:pt>
                <c:pt idx="24">
                  <c:v>6.3455485871716705E-2</c:v>
                </c:pt>
                <c:pt idx="25">
                  <c:v>6.4727257039263159E-2</c:v>
                </c:pt>
                <c:pt idx="26">
                  <c:v>6.8589098755349437E-2</c:v>
                </c:pt>
                <c:pt idx="27">
                  <c:v>7.400188091966306E-2</c:v>
                </c:pt>
                <c:pt idx="28">
                  <c:v>8.2384714042332247E-2</c:v>
                </c:pt>
                <c:pt idx="29">
                  <c:v>8.2563072193878401E-2</c:v>
                </c:pt>
                <c:pt idx="30">
                  <c:v>8.6378385696517818E-2</c:v>
                </c:pt>
                <c:pt idx="31">
                  <c:v>8.7681175673028827E-2</c:v>
                </c:pt>
                <c:pt idx="32">
                  <c:v>8.7696685077511133E-2</c:v>
                </c:pt>
                <c:pt idx="33">
                  <c:v>9.2442562849087001E-2</c:v>
                </c:pt>
                <c:pt idx="34">
                  <c:v>9.2721732129767948E-2</c:v>
                </c:pt>
                <c:pt idx="35">
                  <c:v>9.898753154060666E-2</c:v>
                </c:pt>
                <c:pt idx="36">
                  <c:v>9.9127116180947134E-2</c:v>
                </c:pt>
                <c:pt idx="37">
                  <c:v>9.9127116180947134E-2</c:v>
                </c:pt>
                <c:pt idx="38">
                  <c:v>9.9127116180947134E-2</c:v>
                </c:pt>
                <c:pt idx="39">
                  <c:v>9.9763001764720388E-2</c:v>
                </c:pt>
                <c:pt idx="40">
                  <c:v>0.10502068988421129</c:v>
                </c:pt>
                <c:pt idx="41">
                  <c:v>0.11724210061624327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87-4678-AF4A-29B4D374F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206608"/>
        <c:axId val="1"/>
      </c:scatterChart>
      <c:valAx>
        <c:axId val="928206608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20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2073298764483702"/>
          <c:w val="0.7463656138297737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V0450 Per - O-C Diagr.</a:t>
            </a:r>
          </a:p>
        </c:rich>
      </c:tx>
      <c:layout>
        <c:manualLayout>
          <c:xMode val="edge"/>
          <c:yMode val="edge"/>
          <c:x val="0.3677419354838709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7-4A16-8163-4FAD4D6029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7">
                  <c:v>7.8399999983957969E-3</c:v>
                </c:pt>
                <c:pt idx="18">
                  <c:v>3.6488000005192589E-2</c:v>
                </c:pt>
                <c:pt idx="20">
                  <c:v>5.2437999998801388E-2</c:v>
                </c:pt>
                <c:pt idx="21">
                  <c:v>5.4094000006443821E-2</c:v>
                </c:pt>
                <c:pt idx="22">
                  <c:v>5.9842000002390705E-2</c:v>
                </c:pt>
                <c:pt idx="23">
                  <c:v>5.8634000008169096E-2</c:v>
                </c:pt>
                <c:pt idx="24">
                  <c:v>6.2028000000282191E-2</c:v>
                </c:pt>
                <c:pt idx="25">
                  <c:v>6.4766000003146473E-2</c:v>
                </c:pt>
                <c:pt idx="26">
                  <c:v>6.5741999998863321E-2</c:v>
                </c:pt>
                <c:pt idx="27">
                  <c:v>7.4458000002778135E-2</c:v>
                </c:pt>
                <c:pt idx="28">
                  <c:v>8.1775000006018672E-2</c:v>
                </c:pt>
                <c:pt idx="29">
                  <c:v>8.1615999995847233E-2</c:v>
                </c:pt>
                <c:pt idx="32">
                  <c:v>8.8409999996656552E-2</c:v>
                </c:pt>
                <c:pt idx="33">
                  <c:v>9.1674000002967659E-2</c:v>
                </c:pt>
                <c:pt idx="34">
                  <c:v>9.2085999996925239E-2</c:v>
                </c:pt>
                <c:pt idx="35">
                  <c:v>0.10222200000862358</c:v>
                </c:pt>
                <c:pt idx="36">
                  <c:v>9.9227999999129679E-2</c:v>
                </c:pt>
                <c:pt idx="37">
                  <c:v>9.9717999997665174E-2</c:v>
                </c:pt>
                <c:pt idx="38">
                  <c:v>0.10020800000347663</c:v>
                </c:pt>
                <c:pt idx="40">
                  <c:v>0.10444799999822862</c:v>
                </c:pt>
                <c:pt idx="41">
                  <c:v>0.11564000000362284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37-4A16-8163-4FAD4D6029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37-4A16-8163-4FAD4D6029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0">
                  <c:v>-1.4999999999417923E-2</c:v>
                </c:pt>
                <c:pt idx="2">
                  <c:v>-5.7099999998172279E-2</c:v>
                </c:pt>
                <c:pt idx="3">
                  <c:v>-1.4100000000325963E-2</c:v>
                </c:pt>
                <c:pt idx="4">
                  <c:v>3.1220000018947758E-3</c:v>
                </c:pt>
                <c:pt idx="5">
                  <c:v>-1.5645999999833293E-2</c:v>
                </c:pt>
                <c:pt idx="6">
                  <c:v>-3.7199999496806413E-4</c:v>
                </c:pt>
                <c:pt idx="7">
                  <c:v>-4.3365999998059124E-2</c:v>
                </c:pt>
                <c:pt idx="8">
                  <c:v>-2.0545999992464203E-2</c:v>
                </c:pt>
                <c:pt idx="9">
                  <c:v>-1.2120000028517097E-3</c:v>
                </c:pt>
                <c:pt idx="10">
                  <c:v>-9.1880000036326237E-3</c:v>
                </c:pt>
                <c:pt idx="11">
                  <c:v>-2.1853999998711515E-2</c:v>
                </c:pt>
                <c:pt idx="12">
                  <c:v>-2.7520000003278255E-2</c:v>
                </c:pt>
                <c:pt idx="13">
                  <c:v>-2.217400000517955E-2</c:v>
                </c:pt>
                <c:pt idx="14">
                  <c:v>-1.4907999997376464E-2</c:v>
                </c:pt>
                <c:pt idx="15">
                  <c:v>1.0633999998390209E-2</c:v>
                </c:pt>
                <c:pt idx="16">
                  <c:v>1.0196000002906658E-2</c:v>
                </c:pt>
                <c:pt idx="19">
                  <c:v>4.7930000007909257E-2</c:v>
                </c:pt>
                <c:pt idx="30">
                  <c:v>8.5680000003776513E-2</c:v>
                </c:pt>
                <c:pt idx="31">
                  <c:v>8.7935999996261671E-2</c:v>
                </c:pt>
                <c:pt idx="39">
                  <c:v>9.962200000154553E-2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37-4A16-8163-4FAD4D6029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37-4A16-8163-4FAD4D6029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37-4A16-8163-4FAD4D6029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1">
                    <c:v>0</c:v>
                  </c:pt>
                  <c:pt idx="18">
                    <c:v>1.5E-3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1E-3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2">
                    <c:v>2.9999999999999997E-4</c:v>
                  </c:pt>
                  <c:pt idx="33">
                    <c:v>1.1000000000000001E-3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2.0000000000000001E-4</c:v>
                  </c:pt>
                  <c:pt idx="40">
                    <c:v>5.0000000000000001E-4</c:v>
                  </c:pt>
                  <c:pt idx="4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37-4A16-8163-4FAD4D6029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683</c:v>
                </c:pt>
                <c:pt idx="5">
                  <c:v>1031</c:v>
                </c:pt>
                <c:pt idx="6">
                  <c:v>1442</c:v>
                </c:pt>
                <c:pt idx="7">
                  <c:v>1951</c:v>
                </c:pt>
                <c:pt idx="8">
                  <c:v>2181</c:v>
                </c:pt>
                <c:pt idx="9">
                  <c:v>2182</c:v>
                </c:pt>
                <c:pt idx="10">
                  <c:v>2218</c:v>
                </c:pt>
                <c:pt idx="11">
                  <c:v>2219</c:v>
                </c:pt>
                <c:pt idx="12">
                  <c:v>2220</c:v>
                </c:pt>
                <c:pt idx="13">
                  <c:v>2239</c:v>
                </c:pt>
                <c:pt idx="14">
                  <c:v>4638</c:v>
                </c:pt>
                <c:pt idx="15">
                  <c:v>9951</c:v>
                </c:pt>
                <c:pt idx="16">
                  <c:v>10794</c:v>
                </c:pt>
                <c:pt idx="17">
                  <c:v>11860</c:v>
                </c:pt>
                <c:pt idx="18">
                  <c:v>13732</c:v>
                </c:pt>
                <c:pt idx="19">
                  <c:v>14595</c:v>
                </c:pt>
                <c:pt idx="20">
                  <c:v>14957</c:v>
                </c:pt>
                <c:pt idx="21">
                  <c:v>15291</c:v>
                </c:pt>
                <c:pt idx="22">
                  <c:v>15663</c:v>
                </c:pt>
                <c:pt idx="23">
                  <c:v>15701</c:v>
                </c:pt>
                <c:pt idx="24">
                  <c:v>16092</c:v>
                </c:pt>
                <c:pt idx="25">
                  <c:v>16174</c:v>
                </c:pt>
                <c:pt idx="26">
                  <c:v>16423</c:v>
                </c:pt>
                <c:pt idx="27">
                  <c:v>16772</c:v>
                </c:pt>
                <c:pt idx="28">
                  <c:v>17312.5</c:v>
                </c:pt>
                <c:pt idx="29">
                  <c:v>17324</c:v>
                </c:pt>
                <c:pt idx="30">
                  <c:v>17570</c:v>
                </c:pt>
                <c:pt idx="31">
                  <c:v>17654</c:v>
                </c:pt>
                <c:pt idx="32">
                  <c:v>17655</c:v>
                </c:pt>
                <c:pt idx="33">
                  <c:v>17961</c:v>
                </c:pt>
                <c:pt idx="34">
                  <c:v>17979</c:v>
                </c:pt>
                <c:pt idx="35">
                  <c:v>18383</c:v>
                </c:pt>
                <c:pt idx="36">
                  <c:v>18392</c:v>
                </c:pt>
                <c:pt idx="37">
                  <c:v>18392</c:v>
                </c:pt>
                <c:pt idx="38">
                  <c:v>18392</c:v>
                </c:pt>
                <c:pt idx="39">
                  <c:v>18433</c:v>
                </c:pt>
                <c:pt idx="40">
                  <c:v>18772</c:v>
                </c:pt>
                <c:pt idx="41">
                  <c:v>19560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-0.18612185105703807</c:v>
                </c:pt>
                <c:pt idx="1">
                  <c:v>-0.18612185105703807</c:v>
                </c:pt>
                <c:pt idx="2">
                  <c:v>-0.18069355948824214</c:v>
                </c:pt>
                <c:pt idx="3">
                  <c:v>-0.18069355948824214</c:v>
                </c:pt>
                <c:pt idx="4">
                  <c:v>-0.17552892779564486</c:v>
                </c:pt>
                <c:pt idx="5">
                  <c:v>-0.17013165503581348</c:v>
                </c:pt>
                <c:pt idx="6">
                  <c:v>-0.16375728979359883</c:v>
                </c:pt>
                <c:pt idx="7">
                  <c:v>-0.1558630029121213</c:v>
                </c:pt>
                <c:pt idx="8">
                  <c:v>-0.15229583988119827</c:v>
                </c:pt>
                <c:pt idx="9">
                  <c:v>-0.15228033047671599</c:v>
                </c:pt>
                <c:pt idx="10">
                  <c:v>-0.15172199191535413</c:v>
                </c:pt>
                <c:pt idx="11">
                  <c:v>-0.15170648251087185</c:v>
                </c:pt>
                <c:pt idx="12">
                  <c:v>-0.15169097310638957</c:v>
                </c:pt>
                <c:pt idx="13">
                  <c:v>-0.15139629442122637</c:v>
                </c:pt>
                <c:pt idx="14">
                  <c:v>-0.11418923306825081</c:v>
                </c:pt>
                <c:pt idx="15">
                  <c:v>-3.1787767053928523E-2</c:v>
                </c:pt>
                <c:pt idx="16">
                  <c:v>-1.8713339075371455E-2</c:v>
                </c:pt>
                <c:pt idx="17">
                  <c:v>-2.1803138972672775E-3</c:v>
                </c:pt>
                <c:pt idx="18">
                  <c:v>2.6853291293549825E-2</c:v>
                </c:pt>
                <c:pt idx="19">
                  <c:v>4.0237907361752367E-2</c:v>
                </c:pt>
                <c:pt idx="20">
                  <c:v>4.5852311784335603E-2</c:v>
                </c:pt>
                <c:pt idx="21">
                  <c:v>5.1032452881415141E-2</c:v>
                </c:pt>
                <c:pt idx="22">
                  <c:v>5.68019513488211E-2</c:v>
                </c:pt>
                <c:pt idx="23">
                  <c:v>5.7391308719147521E-2</c:v>
                </c:pt>
                <c:pt idx="24">
                  <c:v>6.3455485871716705E-2</c:v>
                </c:pt>
                <c:pt idx="25">
                  <c:v>6.4727257039263159E-2</c:v>
                </c:pt>
                <c:pt idx="26">
                  <c:v>6.8589098755349437E-2</c:v>
                </c:pt>
                <c:pt idx="27">
                  <c:v>7.400188091966306E-2</c:v>
                </c:pt>
                <c:pt idx="28">
                  <c:v>8.2384714042332247E-2</c:v>
                </c:pt>
                <c:pt idx="29">
                  <c:v>8.2563072193878401E-2</c:v>
                </c:pt>
                <c:pt idx="30">
                  <c:v>8.6378385696517818E-2</c:v>
                </c:pt>
                <c:pt idx="31">
                  <c:v>8.7681175673028827E-2</c:v>
                </c:pt>
                <c:pt idx="32">
                  <c:v>8.7696685077511133E-2</c:v>
                </c:pt>
                <c:pt idx="33">
                  <c:v>9.2442562849087001E-2</c:v>
                </c:pt>
                <c:pt idx="34">
                  <c:v>9.2721732129767948E-2</c:v>
                </c:pt>
                <c:pt idx="35">
                  <c:v>9.898753154060666E-2</c:v>
                </c:pt>
                <c:pt idx="36">
                  <c:v>9.9127116180947134E-2</c:v>
                </c:pt>
                <c:pt idx="37">
                  <c:v>9.9127116180947134E-2</c:v>
                </c:pt>
                <c:pt idx="38">
                  <c:v>9.9127116180947134E-2</c:v>
                </c:pt>
                <c:pt idx="39">
                  <c:v>9.9763001764720388E-2</c:v>
                </c:pt>
                <c:pt idx="40">
                  <c:v>0.10502068988421129</c:v>
                </c:pt>
                <c:pt idx="41">
                  <c:v>0.11724210061624327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37-4A16-8163-4FAD4D60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10728"/>
        <c:axId val="1"/>
      </c:scatterChart>
      <c:valAx>
        <c:axId val="724610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1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2097264437689974"/>
          <c:w val="0.7451612903225806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457200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E6828B-CDC7-EE8C-6E5F-B58C1C93E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0</xdr:row>
      <xdr:rowOff>0</xdr:rowOff>
    </xdr:from>
    <xdr:to>
      <xdr:col>27</xdr:col>
      <xdr:colOff>228600</xdr:colOff>
      <xdr:row>18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5C6CD68-8A8C-6415-0765-69F71280D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53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220" TargetMode="External"/><Relationship Id="rId26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91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var.astro.cz/oejv/issues/oejv0107.pdf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107.pdf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8" TargetMode="External"/><Relationship Id="rId15" Type="http://schemas.openxmlformats.org/officeDocument/2006/relationships/hyperlink" Target="http://www.bav-astro.de/sfs/BAVM_link.php?BAVMnr=212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07.pdf" TargetMode="External"/><Relationship Id="rId19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09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55</v>
      </c>
    </row>
    <row r="2" spans="1:6" s="5" customFormat="1" ht="12.95" customHeight="1">
      <c r="A2" s="5" t="s">
        <v>24</v>
      </c>
      <c r="B2" s="40" t="s">
        <v>32</v>
      </c>
      <c r="C2" s="41" t="s">
        <v>36</v>
      </c>
    </row>
    <row r="3" spans="1:6" s="5" customFormat="1" ht="12.95" customHeight="1" thickBot="1">
      <c r="C3" s="42" t="s">
        <v>37</v>
      </c>
    </row>
    <row r="4" spans="1:6" s="5" customFormat="1" ht="12.95" customHeight="1" thickTop="1" thickBot="1">
      <c r="A4" s="43" t="s">
        <v>0</v>
      </c>
      <c r="C4" s="44">
        <v>38407.46</v>
      </c>
      <c r="D4" s="45">
        <v>0.94866600000000001</v>
      </c>
    </row>
    <row r="5" spans="1:6" s="5" customFormat="1" ht="12.95" customHeight="1" thickTop="1">
      <c r="A5" s="46" t="s">
        <v>39</v>
      </c>
      <c r="C5" s="47">
        <v>-9.5</v>
      </c>
      <c r="D5" s="5" t="s">
        <v>40</v>
      </c>
    </row>
    <row r="6" spans="1:6" s="5" customFormat="1" ht="12.95" customHeight="1">
      <c r="A6" s="43" t="s">
        <v>1</v>
      </c>
    </row>
    <row r="7" spans="1:6" s="5" customFormat="1" ht="12.95" customHeight="1">
      <c r="A7" s="5" t="s">
        <v>2</v>
      </c>
      <c r="C7" s="5">
        <f>+C4</f>
        <v>38407.46</v>
      </c>
    </row>
    <row r="8" spans="1:6" s="5" customFormat="1" ht="12.95" customHeight="1">
      <c r="A8" s="5" t="s">
        <v>3</v>
      </c>
      <c r="C8" s="5">
        <f>+D4</f>
        <v>0.94866600000000001</v>
      </c>
    </row>
    <row r="9" spans="1:6" s="5" customFormat="1" ht="12.95" customHeight="1">
      <c r="A9" s="48" t="s">
        <v>44</v>
      </c>
      <c r="B9" s="49">
        <v>49</v>
      </c>
      <c r="C9" s="50" t="str">
        <f>"F"&amp;B9</f>
        <v>F49</v>
      </c>
      <c r="D9" s="51" t="str">
        <f>"G"&amp;B9</f>
        <v>G49</v>
      </c>
    </row>
    <row r="10" spans="1:6" s="5" customFormat="1" ht="12.95" customHeight="1" thickBot="1">
      <c r="C10" s="52" t="s">
        <v>20</v>
      </c>
      <c r="D10" s="52" t="s">
        <v>21</v>
      </c>
    </row>
    <row r="11" spans="1:6" s="5" customFormat="1" ht="12.95" customHeight="1">
      <c r="A11" s="5" t="s">
        <v>16</v>
      </c>
      <c r="C11" s="51">
        <f ca="1">INTERCEPT(INDIRECT($D$9):G988,INDIRECT($C$9):F988)</f>
        <v>-0.18612185105703807</v>
      </c>
      <c r="D11" s="53"/>
    </row>
    <row r="12" spans="1:6" s="5" customFormat="1" ht="12.95" customHeight="1">
      <c r="A12" s="5" t="s">
        <v>17</v>
      </c>
      <c r="C12" s="51">
        <f ca="1">SLOPE(INDIRECT($D$9):G988,INDIRECT($C$9):F988)</f>
        <v>1.5509404482274097E-5</v>
      </c>
      <c r="D12" s="53"/>
    </row>
    <row r="13" spans="1:6" s="5" customFormat="1" ht="12.95" customHeight="1">
      <c r="A13" s="5" t="s">
        <v>19</v>
      </c>
      <c r="C13" s="53" t="s">
        <v>14</v>
      </c>
    </row>
    <row r="14" spans="1:6" s="5" customFormat="1" ht="12.95" customHeight="1"/>
    <row r="15" spans="1:6" s="5" customFormat="1" ht="12.95" customHeight="1">
      <c r="A15" s="54" t="s">
        <v>18</v>
      </c>
      <c r="C15" s="55">
        <f ca="1">(C7+C11)+(C8+C12)*INT(MAX(F21:F3529))</f>
        <v>56963.484202100612</v>
      </c>
      <c r="E15" s="56" t="s">
        <v>46</v>
      </c>
      <c r="F15" s="47">
        <v>1</v>
      </c>
    </row>
    <row r="16" spans="1:6" s="5" customFormat="1" ht="12.95" customHeight="1">
      <c r="A16" s="43" t="s">
        <v>4</v>
      </c>
      <c r="C16" s="57">
        <f ca="1">+C8+C12</f>
        <v>0.94868150940448226</v>
      </c>
      <c r="E16" s="56" t="s">
        <v>41</v>
      </c>
      <c r="F16" s="58">
        <f ca="1">NOW()+15018.5+$C$5/24</f>
        <v>60372.79906435185</v>
      </c>
    </row>
    <row r="17" spans="1:17" s="5" customFormat="1" ht="12.95" customHeight="1" thickBot="1">
      <c r="A17" s="56" t="s">
        <v>33</v>
      </c>
      <c r="C17" s="5">
        <f>COUNT(C21:C2187)</f>
        <v>42</v>
      </c>
      <c r="E17" s="56" t="s">
        <v>47</v>
      </c>
      <c r="F17" s="58">
        <f ca="1">ROUND(2*(F16-$C$7)/$C$8,0)/2+F15</f>
        <v>23155</v>
      </c>
    </row>
    <row r="18" spans="1:17" s="5" customFormat="1" ht="12.95" customHeight="1" thickTop="1" thickBot="1">
      <c r="A18" s="43" t="s">
        <v>5</v>
      </c>
      <c r="C18" s="44">
        <f ca="1">+C15</f>
        <v>56963.484202100612</v>
      </c>
      <c r="D18" s="45">
        <f ca="1">+C16</f>
        <v>0.94868150940448226</v>
      </c>
      <c r="E18" s="56" t="s">
        <v>42</v>
      </c>
      <c r="F18" s="51">
        <f ca="1">ROUND(2*(F16-$C$15)/$C$16,0)/2+F15</f>
        <v>3594.5</v>
      </c>
    </row>
    <row r="19" spans="1:17" s="5" customFormat="1" ht="12.95" customHeight="1" thickTop="1">
      <c r="E19" s="56" t="s">
        <v>43</v>
      </c>
      <c r="F19" s="59">
        <f ca="1">+$C$15+$C$16*F18-15018.5-$C$5/24</f>
        <v>45355.415720988356</v>
      </c>
    </row>
    <row r="20" spans="1:17" s="5" customFormat="1" ht="12.95" customHeight="1" thickBot="1">
      <c r="A20" s="52" t="s">
        <v>6</v>
      </c>
      <c r="B20" s="52" t="s">
        <v>7</v>
      </c>
      <c r="C20" s="52" t="s">
        <v>8</v>
      </c>
      <c r="D20" s="52" t="s">
        <v>13</v>
      </c>
      <c r="E20" s="52" t="s">
        <v>9</v>
      </c>
      <c r="F20" s="52" t="s">
        <v>10</v>
      </c>
      <c r="G20" s="52" t="s">
        <v>11</v>
      </c>
      <c r="H20" s="60" t="s">
        <v>12</v>
      </c>
      <c r="I20" s="60" t="s">
        <v>59</v>
      </c>
      <c r="J20" s="60" t="s">
        <v>61</v>
      </c>
      <c r="K20" s="60" t="s">
        <v>249</v>
      </c>
      <c r="L20" s="60" t="s">
        <v>25</v>
      </c>
      <c r="M20" s="60" t="s">
        <v>26</v>
      </c>
      <c r="N20" s="60" t="s">
        <v>27</v>
      </c>
      <c r="O20" s="60" t="s">
        <v>23</v>
      </c>
      <c r="P20" s="61" t="s">
        <v>22</v>
      </c>
      <c r="Q20" s="52" t="s">
        <v>15</v>
      </c>
    </row>
    <row r="21" spans="1:17" s="5" customFormat="1" ht="12.95" customHeight="1">
      <c r="A21" s="62" t="s">
        <v>74</v>
      </c>
      <c r="B21" s="63" t="s">
        <v>28</v>
      </c>
      <c r="C21" s="64">
        <v>38407.445</v>
      </c>
      <c r="D21" s="65"/>
      <c r="E21" s="66">
        <f t="shared" ref="E21:E62" si="0">+(C21-C$7)/C$8</f>
        <v>-1.5811676606327121E-2</v>
      </c>
      <c r="F21" s="5">
        <f t="shared" ref="F21:F62" si="1">ROUND(2*E21,0)/2</f>
        <v>0</v>
      </c>
      <c r="G21" s="5">
        <f>+C21-(C$7+F21*C$8)</f>
        <v>-1.4999999999417923E-2</v>
      </c>
      <c r="K21" s="5">
        <f>+G21</f>
        <v>-1.4999999999417923E-2</v>
      </c>
      <c r="O21" s="5">
        <f t="shared" ref="O21:O62" ca="1" si="2">+C$11+C$12*$F21</f>
        <v>-0.18612185105703807</v>
      </c>
      <c r="Q21" s="67">
        <f t="shared" ref="Q21:Q62" si="3">+C21-15018.5</f>
        <v>23388.945</v>
      </c>
    </row>
    <row r="22" spans="1:17" s="5" customFormat="1" ht="12.95" customHeight="1">
      <c r="A22" s="5" t="s">
        <v>12</v>
      </c>
      <c r="C22" s="68">
        <v>38407.46</v>
      </c>
      <c r="D22" s="68" t="s">
        <v>14</v>
      </c>
      <c r="E22" s="5">
        <f t="shared" si="0"/>
        <v>0</v>
      </c>
      <c r="F22" s="5">
        <f t="shared" si="1"/>
        <v>0</v>
      </c>
      <c r="H22" s="51">
        <v>0</v>
      </c>
      <c r="O22" s="5">
        <f t="shared" ca="1" si="2"/>
        <v>-0.18612185105703807</v>
      </c>
      <c r="Q22" s="67">
        <f t="shared" si="3"/>
        <v>23388.959999999999</v>
      </c>
    </row>
    <row r="23" spans="1:17" s="5" customFormat="1" ht="12.95" customHeight="1">
      <c r="A23" s="62" t="s">
        <v>79</v>
      </c>
      <c r="B23" s="63" t="s">
        <v>28</v>
      </c>
      <c r="C23" s="64">
        <v>38739.436000000002</v>
      </c>
      <c r="D23" s="65"/>
      <c r="E23" s="66">
        <f t="shared" si="0"/>
        <v>349.93981021771873</v>
      </c>
      <c r="F23" s="5">
        <f t="shared" si="1"/>
        <v>350</v>
      </c>
      <c r="G23" s="5">
        <f t="shared" ref="G23:G62" si="4">+C23-(C$7+F23*C$8)</f>
        <v>-5.7099999998172279E-2</v>
      </c>
      <c r="K23" s="5">
        <f t="shared" ref="K23:K37" si="5">+G23</f>
        <v>-5.7099999998172279E-2</v>
      </c>
      <c r="O23" s="5">
        <f t="shared" ca="1" si="2"/>
        <v>-0.18069355948824214</v>
      </c>
      <c r="Q23" s="67">
        <f t="shared" si="3"/>
        <v>23720.936000000002</v>
      </c>
    </row>
    <row r="24" spans="1:17" s="5" customFormat="1" ht="12.95" customHeight="1">
      <c r="A24" s="62" t="s">
        <v>74</v>
      </c>
      <c r="B24" s="63" t="s">
        <v>28</v>
      </c>
      <c r="C24" s="64">
        <v>38739.478999999999</v>
      </c>
      <c r="D24" s="65"/>
      <c r="E24" s="66">
        <f t="shared" si="0"/>
        <v>349.98513702398969</v>
      </c>
      <c r="F24" s="5">
        <f t="shared" si="1"/>
        <v>350</v>
      </c>
      <c r="G24" s="5">
        <f t="shared" si="4"/>
        <v>-1.4100000000325963E-2</v>
      </c>
      <c r="K24" s="5">
        <f t="shared" si="5"/>
        <v>-1.4100000000325963E-2</v>
      </c>
      <c r="O24" s="5">
        <f t="shared" ca="1" si="2"/>
        <v>-0.18069355948824214</v>
      </c>
      <c r="Q24" s="67">
        <f t="shared" si="3"/>
        <v>23720.978999999999</v>
      </c>
    </row>
    <row r="25" spans="1:17" s="5" customFormat="1" ht="12.95" customHeight="1">
      <c r="A25" s="62" t="s">
        <v>74</v>
      </c>
      <c r="B25" s="63" t="s">
        <v>28</v>
      </c>
      <c r="C25" s="64">
        <v>39055.402000000002</v>
      </c>
      <c r="D25" s="65"/>
      <c r="E25" s="66">
        <f t="shared" si="0"/>
        <v>683.00329093696064</v>
      </c>
      <c r="F25" s="5">
        <f t="shared" si="1"/>
        <v>683</v>
      </c>
      <c r="G25" s="5">
        <f t="shared" si="4"/>
        <v>3.1220000018947758E-3</v>
      </c>
      <c r="K25" s="5">
        <f t="shared" si="5"/>
        <v>3.1220000018947758E-3</v>
      </c>
      <c r="O25" s="5">
        <f t="shared" ca="1" si="2"/>
        <v>-0.17552892779564486</v>
      </c>
      <c r="Q25" s="67">
        <f t="shared" si="3"/>
        <v>24036.902000000002</v>
      </c>
    </row>
    <row r="26" spans="1:17" s="5" customFormat="1" ht="12.95" customHeight="1">
      <c r="A26" s="62" t="s">
        <v>74</v>
      </c>
      <c r="B26" s="63" t="s">
        <v>28</v>
      </c>
      <c r="C26" s="64">
        <v>39385.519</v>
      </c>
      <c r="D26" s="65"/>
      <c r="E26" s="66">
        <f t="shared" si="0"/>
        <v>1030.9835073671884</v>
      </c>
      <c r="F26" s="5">
        <f t="shared" si="1"/>
        <v>1031</v>
      </c>
      <c r="G26" s="5">
        <f t="shared" si="4"/>
        <v>-1.5645999999833293E-2</v>
      </c>
      <c r="K26" s="5">
        <f t="shared" si="5"/>
        <v>-1.5645999999833293E-2</v>
      </c>
      <c r="O26" s="5">
        <f t="shared" ca="1" si="2"/>
        <v>-0.17013165503581348</v>
      </c>
      <c r="Q26" s="67">
        <f t="shared" si="3"/>
        <v>24367.019</v>
      </c>
    </row>
    <row r="27" spans="1:17" s="5" customFormat="1" ht="12.95" customHeight="1">
      <c r="A27" s="62" t="s">
        <v>74</v>
      </c>
      <c r="B27" s="63" t="s">
        <v>28</v>
      </c>
      <c r="C27" s="64">
        <v>39775.436000000002</v>
      </c>
      <c r="D27" s="65"/>
      <c r="E27" s="66">
        <f t="shared" si="0"/>
        <v>1441.9996078704226</v>
      </c>
      <c r="F27" s="5">
        <f t="shared" si="1"/>
        <v>1442</v>
      </c>
      <c r="G27" s="5">
        <f t="shared" si="4"/>
        <v>-3.7199999496806413E-4</v>
      </c>
      <c r="K27" s="5">
        <f t="shared" si="5"/>
        <v>-3.7199999496806413E-4</v>
      </c>
      <c r="O27" s="5">
        <f t="shared" ca="1" si="2"/>
        <v>-0.16375728979359883</v>
      </c>
      <c r="Q27" s="67">
        <f t="shared" si="3"/>
        <v>24756.936000000002</v>
      </c>
    </row>
    <row r="28" spans="1:17" s="5" customFormat="1" ht="12.95" customHeight="1">
      <c r="A28" s="62" t="s">
        <v>74</v>
      </c>
      <c r="B28" s="63" t="s">
        <v>28</v>
      </c>
      <c r="C28" s="64">
        <v>40258.264000000003</v>
      </c>
      <c r="E28" s="66">
        <f t="shared" si="0"/>
        <v>1950.9542873888215</v>
      </c>
      <c r="F28" s="5">
        <f t="shared" si="1"/>
        <v>1951</v>
      </c>
      <c r="G28" s="5">
        <f t="shared" si="4"/>
        <v>-4.3365999998059124E-2</v>
      </c>
      <c r="K28" s="5">
        <f t="shared" si="5"/>
        <v>-4.3365999998059124E-2</v>
      </c>
      <c r="O28" s="5">
        <f t="shared" ca="1" si="2"/>
        <v>-0.1558630029121213</v>
      </c>
      <c r="Q28" s="67">
        <f t="shared" si="3"/>
        <v>25239.764000000003</v>
      </c>
    </row>
    <row r="29" spans="1:17" s="5" customFormat="1" ht="12.95" customHeight="1">
      <c r="A29" s="62" t="s">
        <v>74</v>
      </c>
      <c r="B29" s="63" t="s">
        <v>28</v>
      </c>
      <c r="C29" s="64">
        <v>40476.480000000003</v>
      </c>
      <c r="E29" s="66">
        <f t="shared" si="0"/>
        <v>2180.9783422195001</v>
      </c>
      <c r="F29" s="5">
        <f t="shared" si="1"/>
        <v>2181</v>
      </c>
      <c r="G29" s="5">
        <f t="shared" si="4"/>
        <v>-2.0545999992464203E-2</v>
      </c>
      <c r="K29" s="5">
        <f t="shared" si="5"/>
        <v>-2.0545999992464203E-2</v>
      </c>
      <c r="O29" s="5">
        <f t="shared" ca="1" si="2"/>
        <v>-0.15229583988119827</v>
      </c>
      <c r="Q29" s="67">
        <f t="shared" si="3"/>
        <v>25457.980000000003</v>
      </c>
    </row>
    <row r="30" spans="1:17" s="5" customFormat="1" ht="12.95" customHeight="1">
      <c r="A30" s="62" t="s">
        <v>74</v>
      </c>
      <c r="B30" s="63" t="s">
        <v>28</v>
      </c>
      <c r="C30" s="64">
        <v>40477.447999999997</v>
      </c>
      <c r="E30" s="66">
        <f t="shared" si="0"/>
        <v>2181.9987224165275</v>
      </c>
      <c r="F30" s="5">
        <f t="shared" si="1"/>
        <v>2182</v>
      </c>
      <c r="G30" s="5">
        <f t="shared" si="4"/>
        <v>-1.2120000028517097E-3</v>
      </c>
      <c r="K30" s="5">
        <f t="shared" si="5"/>
        <v>-1.2120000028517097E-3</v>
      </c>
      <c r="O30" s="5">
        <f t="shared" ca="1" si="2"/>
        <v>-0.15228033047671599</v>
      </c>
      <c r="Q30" s="67">
        <f t="shared" si="3"/>
        <v>25458.947999999997</v>
      </c>
    </row>
    <row r="31" spans="1:17" s="5" customFormat="1" ht="12.95" customHeight="1">
      <c r="A31" s="62" t="s">
        <v>74</v>
      </c>
      <c r="B31" s="63" t="s">
        <v>28</v>
      </c>
      <c r="C31" s="64">
        <v>40511.591999999997</v>
      </c>
      <c r="E31" s="66">
        <f t="shared" si="0"/>
        <v>2217.9903148210201</v>
      </c>
      <c r="F31" s="5">
        <f t="shared" si="1"/>
        <v>2218</v>
      </c>
      <c r="G31" s="5">
        <f t="shared" si="4"/>
        <v>-9.1880000036326237E-3</v>
      </c>
      <c r="K31" s="5">
        <f t="shared" si="5"/>
        <v>-9.1880000036326237E-3</v>
      </c>
      <c r="O31" s="5">
        <f t="shared" ca="1" si="2"/>
        <v>-0.15172199191535413</v>
      </c>
      <c r="Q31" s="67">
        <f t="shared" si="3"/>
        <v>25493.091999999997</v>
      </c>
    </row>
    <row r="32" spans="1:17" s="5" customFormat="1" ht="12.95" customHeight="1">
      <c r="A32" s="62" t="s">
        <v>74</v>
      </c>
      <c r="B32" s="63" t="s">
        <v>28</v>
      </c>
      <c r="C32" s="64">
        <v>40512.527999999998</v>
      </c>
      <c r="E32" s="66">
        <f t="shared" si="0"/>
        <v>2218.9769634412946</v>
      </c>
      <c r="F32" s="5">
        <f t="shared" si="1"/>
        <v>2219</v>
      </c>
      <c r="G32" s="5">
        <f t="shared" si="4"/>
        <v>-2.1853999998711515E-2</v>
      </c>
      <c r="K32" s="5">
        <f t="shared" si="5"/>
        <v>-2.1853999998711515E-2</v>
      </c>
      <c r="O32" s="5">
        <f t="shared" ca="1" si="2"/>
        <v>-0.15170648251087185</v>
      </c>
      <c r="Q32" s="67">
        <f t="shared" si="3"/>
        <v>25494.027999999998</v>
      </c>
    </row>
    <row r="33" spans="1:17" s="5" customFormat="1" ht="12.95" customHeight="1">
      <c r="A33" s="62" t="s">
        <v>74</v>
      </c>
      <c r="B33" s="63" t="s">
        <v>28</v>
      </c>
      <c r="C33" s="64">
        <v>40513.470999999998</v>
      </c>
      <c r="E33" s="66">
        <f t="shared" si="0"/>
        <v>2219.9709908439836</v>
      </c>
      <c r="F33" s="5">
        <f t="shared" si="1"/>
        <v>2220</v>
      </c>
      <c r="G33" s="5">
        <f t="shared" si="4"/>
        <v>-2.7520000003278255E-2</v>
      </c>
      <c r="K33" s="5">
        <f t="shared" si="5"/>
        <v>-2.7520000003278255E-2</v>
      </c>
      <c r="O33" s="5">
        <f t="shared" ca="1" si="2"/>
        <v>-0.15169097310638957</v>
      </c>
      <c r="Q33" s="67">
        <f t="shared" si="3"/>
        <v>25494.970999999998</v>
      </c>
    </row>
    <row r="34" spans="1:17" s="5" customFormat="1" ht="12.95" customHeight="1">
      <c r="A34" s="62" t="s">
        <v>74</v>
      </c>
      <c r="B34" s="63" t="s">
        <v>28</v>
      </c>
      <c r="C34" s="64">
        <v>40531.500999999997</v>
      </c>
      <c r="E34" s="66">
        <f t="shared" si="0"/>
        <v>2238.9766261255249</v>
      </c>
      <c r="F34" s="5">
        <f t="shared" si="1"/>
        <v>2239</v>
      </c>
      <c r="G34" s="5">
        <f t="shared" si="4"/>
        <v>-2.217400000517955E-2</v>
      </c>
      <c r="K34" s="5">
        <f t="shared" si="5"/>
        <v>-2.217400000517955E-2</v>
      </c>
      <c r="O34" s="5">
        <f t="shared" ca="1" si="2"/>
        <v>-0.15139629442122637</v>
      </c>
      <c r="Q34" s="67">
        <f t="shared" si="3"/>
        <v>25513.000999999997</v>
      </c>
    </row>
    <row r="35" spans="1:17" s="5" customFormat="1" ht="12.95" customHeight="1">
      <c r="A35" s="62" t="s">
        <v>74</v>
      </c>
      <c r="B35" s="63" t="s">
        <v>28</v>
      </c>
      <c r="C35" s="64">
        <v>42807.358</v>
      </c>
      <c r="E35" s="66">
        <f t="shared" si="0"/>
        <v>4637.9842853016771</v>
      </c>
      <c r="F35" s="5">
        <f t="shared" si="1"/>
        <v>4638</v>
      </c>
      <c r="G35" s="5">
        <f t="shared" si="4"/>
        <v>-1.4907999997376464E-2</v>
      </c>
      <c r="K35" s="5">
        <f t="shared" si="5"/>
        <v>-1.4907999997376464E-2</v>
      </c>
      <c r="O35" s="5">
        <f t="shared" ca="1" si="2"/>
        <v>-0.11418923306825081</v>
      </c>
      <c r="Q35" s="67">
        <f t="shared" si="3"/>
        <v>27788.858</v>
      </c>
    </row>
    <row r="36" spans="1:17" s="5" customFormat="1" ht="12.95" customHeight="1">
      <c r="A36" s="62" t="s">
        <v>118</v>
      </c>
      <c r="B36" s="63" t="s">
        <v>28</v>
      </c>
      <c r="C36" s="64">
        <v>47847.646000000001</v>
      </c>
      <c r="E36" s="66">
        <f t="shared" si="0"/>
        <v>9951.0112094246033</v>
      </c>
      <c r="F36" s="5">
        <f t="shared" si="1"/>
        <v>9951</v>
      </c>
      <c r="G36" s="5">
        <f t="shared" si="4"/>
        <v>1.0633999998390209E-2</v>
      </c>
      <c r="K36" s="5">
        <f t="shared" si="5"/>
        <v>1.0633999998390209E-2</v>
      </c>
      <c r="O36" s="5">
        <f t="shared" ca="1" si="2"/>
        <v>-3.1787767053928523E-2</v>
      </c>
      <c r="Q36" s="67">
        <f t="shared" si="3"/>
        <v>32829.146000000001</v>
      </c>
    </row>
    <row r="37" spans="1:17">
      <c r="A37" s="37" t="s">
        <v>122</v>
      </c>
      <c r="B37" s="38" t="s">
        <v>28</v>
      </c>
      <c r="C37" s="39">
        <v>48647.370999999999</v>
      </c>
      <c r="E37" s="19">
        <f t="shared" si="0"/>
        <v>10794.010747723645</v>
      </c>
      <c r="F37">
        <f t="shared" si="1"/>
        <v>10794</v>
      </c>
      <c r="G37">
        <f t="shared" si="4"/>
        <v>1.0196000002906658E-2</v>
      </c>
      <c r="K37">
        <f t="shared" si="5"/>
        <v>1.0196000002906658E-2</v>
      </c>
      <c r="O37">
        <f t="shared" ca="1" si="2"/>
        <v>-1.8713339075371455E-2</v>
      </c>
      <c r="Q37" s="2">
        <f t="shared" si="3"/>
        <v>33628.870999999999</v>
      </c>
    </row>
    <row r="38" spans="1:17">
      <c r="A38" t="s">
        <v>30</v>
      </c>
      <c r="B38" s="3" t="s">
        <v>28</v>
      </c>
      <c r="C38" s="12">
        <v>49658.6466</v>
      </c>
      <c r="D38" s="12"/>
      <c r="E38">
        <f t="shared" si="0"/>
        <v>11860.008264236307</v>
      </c>
      <c r="F38">
        <f t="shared" si="1"/>
        <v>11860</v>
      </c>
      <c r="G38">
        <f t="shared" si="4"/>
        <v>7.8399999983957969E-3</v>
      </c>
      <c r="I38">
        <f>+G38</f>
        <v>7.8399999983957969E-3</v>
      </c>
      <c r="O38">
        <f t="shared" ca="1" si="2"/>
        <v>-2.1803138972672775E-3</v>
      </c>
      <c r="Q38" s="2">
        <f t="shared" si="3"/>
        <v>34640.1466</v>
      </c>
    </row>
    <row r="39" spans="1:17">
      <c r="A39" t="s">
        <v>31</v>
      </c>
      <c r="B39" s="3"/>
      <c r="C39" s="12">
        <v>51434.578000000001</v>
      </c>
      <c r="D39" s="12">
        <v>1.5E-3</v>
      </c>
      <c r="E39">
        <f t="shared" si="0"/>
        <v>13732.038462430404</v>
      </c>
      <c r="F39">
        <f t="shared" si="1"/>
        <v>13732</v>
      </c>
      <c r="G39">
        <f t="shared" si="4"/>
        <v>3.6488000005192589E-2</v>
      </c>
      <c r="I39">
        <f>+G39</f>
        <v>3.6488000005192589E-2</v>
      </c>
      <c r="O39">
        <f t="shared" ca="1" si="2"/>
        <v>2.6853291293549825E-2</v>
      </c>
      <c r="Q39" s="2">
        <f t="shared" si="3"/>
        <v>36416.078000000001</v>
      </c>
    </row>
    <row r="40" spans="1:17">
      <c r="A40" s="37" t="s">
        <v>139</v>
      </c>
      <c r="B40" s="38" t="s">
        <v>28</v>
      </c>
      <c r="C40" s="39">
        <v>52253.288200000003</v>
      </c>
      <c r="E40" s="19">
        <f t="shared" si="0"/>
        <v>14595.050523577322</v>
      </c>
      <c r="F40">
        <f t="shared" si="1"/>
        <v>14595</v>
      </c>
      <c r="G40">
        <f t="shared" si="4"/>
        <v>4.7930000007909257E-2</v>
      </c>
      <c r="K40">
        <f>+G40</f>
        <v>4.7930000007909257E-2</v>
      </c>
      <c r="O40">
        <f t="shared" ca="1" si="2"/>
        <v>4.0237907361752367E-2</v>
      </c>
      <c r="Q40" s="2">
        <f t="shared" si="3"/>
        <v>37234.788200000003</v>
      </c>
    </row>
    <row r="41" spans="1:17">
      <c r="A41" t="s">
        <v>29</v>
      </c>
      <c r="B41" s="3" t="s">
        <v>28</v>
      </c>
      <c r="C41" s="12">
        <v>52596.709799999997</v>
      </c>
      <c r="D41" s="12">
        <v>2.0000000000000001E-4</v>
      </c>
      <c r="E41">
        <f t="shared" si="0"/>
        <v>14957.055275513192</v>
      </c>
      <c r="F41">
        <f t="shared" si="1"/>
        <v>14957</v>
      </c>
      <c r="G41">
        <f t="shared" si="4"/>
        <v>5.2437999998801388E-2</v>
      </c>
      <c r="I41">
        <f>+G41</f>
        <v>5.2437999998801388E-2</v>
      </c>
      <c r="O41">
        <f t="shared" ca="1" si="2"/>
        <v>4.5852311784335603E-2</v>
      </c>
      <c r="Q41" s="2">
        <f t="shared" si="3"/>
        <v>37578.209799999997</v>
      </c>
    </row>
    <row r="42" spans="1:17">
      <c r="A42" t="s">
        <v>31</v>
      </c>
      <c r="B42" s="3"/>
      <c r="C42" s="12">
        <v>52913.565900000001</v>
      </c>
      <c r="D42" s="12">
        <v>5.0000000000000001E-4</v>
      </c>
      <c r="E42">
        <f t="shared" si="0"/>
        <v>15291.057021122295</v>
      </c>
      <c r="F42">
        <f t="shared" si="1"/>
        <v>15291</v>
      </c>
      <c r="G42">
        <f t="shared" si="4"/>
        <v>5.4094000006443821E-2</v>
      </c>
      <c r="I42">
        <f>+G42</f>
        <v>5.4094000006443821E-2</v>
      </c>
      <c r="O42">
        <f t="shared" ca="1" si="2"/>
        <v>5.1032452881415141E-2</v>
      </c>
      <c r="Q42" s="2">
        <f t="shared" si="3"/>
        <v>37895.065900000001</v>
      </c>
    </row>
    <row r="43" spans="1:17">
      <c r="A43" s="5" t="s">
        <v>34</v>
      </c>
      <c r="B43" s="6"/>
      <c r="C43" s="12">
        <v>53266.475400000003</v>
      </c>
      <c r="D43" s="12">
        <v>4.0000000000000002E-4</v>
      </c>
      <c r="E43">
        <f t="shared" si="0"/>
        <v>15663.063080156771</v>
      </c>
      <c r="F43">
        <f t="shared" si="1"/>
        <v>15663</v>
      </c>
      <c r="G43">
        <f t="shared" si="4"/>
        <v>5.9842000002390705E-2</v>
      </c>
      <c r="I43">
        <f>+G43</f>
        <v>5.9842000002390705E-2</v>
      </c>
      <c r="O43">
        <f t="shared" ca="1" si="2"/>
        <v>5.68019513488211E-2</v>
      </c>
      <c r="Q43" s="2">
        <f t="shared" si="3"/>
        <v>38247.975400000003</v>
      </c>
    </row>
    <row r="44" spans="1:17">
      <c r="A44" s="9" t="s">
        <v>38</v>
      </c>
      <c r="B44" s="10" t="s">
        <v>28</v>
      </c>
      <c r="C44" s="11">
        <v>53302.523500000003</v>
      </c>
      <c r="D44" s="11">
        <v>1E-3</v>
      </c>
      <c r="E44">
        <f t="shared" si="0"/>
        <v>15701.061806789749</v>
      </c>
      <c r="F44">
        <f t="shared" si="1"/>
        <v>15701</v>
      </c>
      <c r="G44">
        <f t="shared" si="4"/>
        <v>5.8634000008169096E-2</v>
      </c>
      <c r="I44">
        <f>+G44</f>
        <v>5.8634000008169096E-2</v>
      </c>
      <c r="O44">
        <f t="shared" ca="1" si="2"/>
        <v>5.7391308719147521E-2</v>
      </c>
      <c r="Q44" s="2">
        <f t="shared" si="3"/>
        <v>38284.023500000003</v>
      </c>
    </row>
    <row r="45" spans="1:17">
      <c r="A45" s="7" t="s">
        <v>35</v>
      </c>
      <c r="B45" s="8"/>
      <c r="C45" s="12">
        <v>53673.455300000001</v>
      </c>
      <c r="D45" s="12">
        <v>2.9999999999999997E-4</v>
      </c>
      <c r="E45">
        <f t="shared" si="0"/>
        <v>16092.065384445108</v>
      </c>
      <c r="F45">
        <f t="shared" si="1"/>
        <v>16092</v>
      </c>
      <c r="G45">
        <f t="shared" si="4"/>
        <v>6.2028000000282191E-2</v>
      </c>
      <c r="I45">
        <f>+G45</f>
        <v>6.2028000000282191E-2</v>
      </c>
      <c r="O45">
        <f t="shared" ca="1" si="2"/>
        <v>6.3455485871716705E-2</v>
      </c>
      <c r="Q45" s="2">
        <f t="shared" si="3"/>
        <v>38654.955300000001</v>
      </c>
    </row>
    <row r="46" spans="1:17">
      <c r="A46" s="16" t="s">
        <v>45</v>
      </c>
      <c r="B46" s="17" t="s">
        <v>28</v>
      </c>
      <c r="C46" s="18">
        <v>53751.248650000001</v>
      </c>
      <c r="D46" s="18">
        <v>4.0000000000000002E-4</v>
      </c>
      <c r="E46" s="19">
        <f t="shared" si="0"/>
        <v>16174.068270603144</v>
      </c>
      <c r="F46">
        <f t="shared" si="1"/>
        <v>16174</v>
      </c>
      <c r="G46">
        <f t="shared" si="4"/>
        <v>6.4766000003146473E-2</v>
      </c>
      <c r="I46">
        <f>+G46</f>
        <v>6.4766000003146473E-2</v>
      </c>
      <c r="O46">
        <f t="shared" ca="1" si="2"/>
        <v>6.4727257039263159E-2</v>
      </c>
      <c r="Q46" s="2">
        <f t="shared" si="3"/>
        <v>38732.748650000001</v>
      </c>
    </row>
    <row r="47" spans="1:17">
      <c r="A47" s="16" t="s">
        <v>45</v>
      </c>
      <c r="B47" s="17" t="s">
        <v>28</v>
      </c>
      <c r="C47" s="18">
        <v>53987.46746</v>
      </c>
      <c r="D47" s="18">
        <v>2.9999999999999997E-4</v>
      </c>
      <c r="E47" s="19">
        <f t="shared" si="0"/>
        <v>16423.069299416235</v>
      </c>
      <c r="F47">
        <f t="shared" si="1"/>
        <v>16423</v>
      </c>
      <c r="G47">
        <f t="shared" si="4"/>
        <v>6.5741999998863321E-2</v>
      </c>
      <c r="I47">
        <f>+G47</f>
        <v>6.5741999998863321E-2</v>
      </c>
      <c r="O47">
        <f t="shared" ca="1" si="2"/>
        <v>6.8589098755349437E-2</v>
      </c>
      <c r="Q47" s="2">
        <f t="shared" si="3"/>
        <v>38968.96746</v>
      </c>
    </row>
    <row r="48" spans="1:17">
      <c r="A48" s="16" t="s">
        <v>45</v>
      </c>
      <c r="B48" s="17" t="s">
        <v>28</v>
      </c>
      <c r="C48" s="18">
        <v>54318.56061</v>
      </c>
      <c r="D48" s="18">
        <v>2.0000000000000001E-4</v>
      </c>
      <c r="E48" s="19">
        <f t="shared" si="0"/>
        <v>16772.078487054456</v>
      </c>
      <c r="F48">
        <f t="shared" si="1"/>
        <v>16772</v>
      </c>
      <c r="G48">
        <f t="shared" si="4"/>
        <v>7.4458000002778135E-2</v>
      </c>
      <c r="I48">
        <f>+G48</f>
        <v>7.4458000002778135E-2</v>
      </c>
      <c r="O48">
        <f t="shared" ca="1" si="2"/>
        <v>7.400188091966306E-2</v>
      </c>
      <c r="Q48" s="2">
        <f t="shared" si="3"/>
        <v>39300.06061</v>
      </c>
    </row>
    <row r="49" spans="1:17">
      <c r="A49" s="20" t="s">
        <v>49</v>
      </c>
      <c r="B49" s="21" t="s">
        <v>50</v>
      </c>
      <c r="C49" s="20">
        <v>54831.321900000003</v>
      </c>
      <c r="D49" s="20">
        <v>1.4E-3</v>
      </c>
      <c r="E49" s="19">
        <f t="shared" si="0"/>
        <v>17312.586199990306</v>
      </c>
      <c r="F49">
        <f t="shared" si="1"/>
        <v>17312.5</v>
      </c>
      <c r="G49">
        <f t="shared" si="4"/>
        <v>8.1775000006018672E-2</v>
      </c>
      <c r="I49">
        <f>+G49</f>
        <v>8.1775000006018672E-2</v>
      </c>
      <c r="O49">
        <f t="shared" ca="1" si="2"/>
        <v>8.2384714042332247E-2</v>
      </c>
      <c r="Q49" s="2">
        <f t="shared" si="3"/>
        <v>39812.821900000003</v>
      </c>
    </row>
    <row r="50" spans="1:17">
      <c r="A50" s="20" t="s">
        <v>49</v>
      </c>
      <c r="B50" s="21" t="s">
        <v>28</v>
      </c>
      <c r="C50" s="20">
        <v>54842.231399999997</v>
      </c>
      <c r="D50" s="20">
        <v>2.0000000000000001E-4</v>
      </c>
      <c r="E50" s="19">
        <f t="shared" si="0"/>
        <v>17324.086032386527</v>
      </c>
      <c r="F50">
        <f t="shared" si="1"/>
        <v>17324</v>
      </c>
      <c r="G50">
        <f t="shared" si="4"/>
        <v>8.1615999995847233E-2</v>
      </c>
      <c r="I50">
        <f>+G50</f>
        <v>8.1615999995847233E-2</v>
      </c>
      <c r="O50">
        <f t="shared" ca="1" si="2"/>
        <v>8.2563072193878401E-2</v>
      </c>
      <c r="Q50" s="2">
        <f t="shared" si="3"/>
        <v>39823.731399999997</v>
      </c>
    </row>
    <row r="51" spans="1:17">
      <c r="A51" s="37" t="s">
        <v>198</v>
      </c>
      <c r="B51" s="38" t="s">
        <v>28</v>
      </c>
      <c r="C51" s="39">
        <v>55075.607300000003</v>
      </c>
      <c r="E51" s="19">
        <f t="shared" si="0"/>
        <v>17570.090316296784</v>
      </c>
      <c r="F51">
        <f t="shared" si="1"/>
        <v>17570</v>
      </c>
      <c r="G51">
        <f t="shared" si="4"/>
        <v>8.5680000003776513E-2</v>
      </c>
      <c r="K51">
        <f>+G51</f>
        <v>8.5680000003776513E-2</v>
      </c>
      <c r="O51">
        <f t="shared" ca="1" si="2"/>
        <v>8.6378385696517818E-2</v>
      </c>
      <c r="Q51" s="2">
        <f t="shared" si="3"/>
        <v>40057.107300000003</v>
      </c>
    </row>
    <row r="52" spans="1:17">
      <c r="A52" s="37" t="s">
        <v>198</v>
      </c>
      <c r="B52" s="38" t="s">
        <v>28</v>
      </c>
      <c r="C52" s="39">
        <v>55155.297500000001</v>
      </c>
      <c r="E52" s="19">
        <f t="shared" si="0"/>
        <v>17654.092694372943</v>
      </c>
      <c r="F52">
        <f t="shared" si="1"/>
        <v>17654</v>
      </c>
      <c r="G52">
        <f t="shared" si="4"/>
        <v>8.7935999996261671E-2</v>
      </c>
      <c r="K52">
        <f>+G52</f>
        <v>8.7935999996261671E-2</v>
      </c>
      <c r="O52">
        <f t="shared" ca="1" si="2"/>
        <v>8.7681175673028827E-2</v>
      </c>
      <c r="Q52" s="2">
        <f t="shared" si="3"/>
        <v>40136.797500000001</v>
      </c>
    </row>
    <row r="53" spans="1:17">
      <c r="A53" s="16" t="s">
        <v>48</v>
      </c>
      <c r="B53" s="17" t="s">
        <v>28</v>
      </c>
      <c r="C53" s="18">
        <v>55156.246639999998</v>
      </c>
      <c r="D53" s="18">
        <v>2.9999999999999997E-4</v>
      </c>
      <c r="E53" s="19">
        <f t="shared" si="0"/>
        <v>17655.09319402192</v>
      </c>
      <c r="F53">
        <f t="shared" si="1"/>
        <v>17655</v>
      </c>
      <c r="G53">
        <f t="shared" si="4"/>
        <v>8.8409999996656552E-2</v>
      </c>
      <c r="I53">
        <f>+G53</f>
        <v>8.8409999996656552E-2</v>
      </c>
      <c r="O53">
        <f t="shared" ca="1" si="2"/>
        <v>8.7696685077511133E-2</v>
      </c>
      <c r="Q53" s="2">
        <f t="shared" si="3"/>
        <v>40137.746639999998</v>
      </c>
    </row>
    <row r="54" spans="1:17">
      <c r="A54" s="20" t="s">
        <v>51</v>
      </c>
      <c r="B54" s="21" t="s">
        <v>28</v>
      </c>
      <c r="C54" s="20">
        <v>55446.541700000002</v>
      </c>
      <c r="D54" s="20">
        <v>1.1000000000000001E-3</v>
      </c>
      <c r="E54" s="19">
        <f t="shared" si="0"/>
        <v>17961.096634642752</v>
      </c>
      <c r="F54">
        <f t="shared" si="1"/>
        <v>17961</v>
      </c>
      <c r="G54">
        <f t="shared" si="4"/>
        <v>9.1674000002967659E-2</v>
      </c>
      <c r="I54">
        <f>+G54</f>
        <v>9.1674000002967659E-2</v>
      </c>
      <c r="O54">
        <f t="shared" ca="1" si="2"/>
        <v>9.2442562849087001E-2</v>
      </c>
      <c r="Q54" s="2">
        <f t="shared" si="3"/>
        <v>40428.041700000002</v>
      </c>
    </row>
    <row r="55" spans="1:17">
      <c r="A55" s="16" t="s">
        <v>48</v>
      </c>
      <c r="B55" s="17" t="s">
        <v>28</v>
      </c>
      <c r="C55" s="18">
        <v>55463.6181</v>
      </c>
      <c r="D55" s="18">
        <v>2.9999999999999997E-4</v>
      </c>
      <c r="E55" s="19">
        <f t="shared" si="0"/>
        <v>17979.0970689368</v>
      </c>
      <c r="F55">
        <f t="shared" si="1"/>
        <v>17979</v>
      </c>
      <c r="G55">
        <f t="shared" si="4"/>
        <v>9.2085999996925239E-2</v>
      </c>
      <c r="I55">
        <f>+G55</f>
        <v>9.2085999996925239E-2</v>
      </c>
      <c r="O55">
        <f t="shared" ca="1" si="2"/>
        <v>9.2721732129767948E-2</v>
      </c>
      <c r="Q55" s="2">
        <f t="shared" si="3"/>
        <v>40445.1181</v>
      </c>
    </row>
    <row r="56" spans="1:17">
      <c r="A56" s="20" t="s">
        <v>52</v>
      </c>
      <c r="B56" s="21" t="s">
        <v>28</v>
      </c>
      <c r="C56" s="20">
        <v>55846.889300000003</v>
      </c>
      <c r="D56" s="20">
        <v>2.9999999999999997E-4</v>
      </c>
      <c r="E56" s="19">
        <f t="shared" si="0"/>
        <v>18383.107753413744</v>
      </c>
      <c r="F56">
        <f t="shared" si="1"/>
        <v>18383</v>
      </c>
      <c r="G56">
        <f t="shared" si="4"/>
        <v>0.10222200000862358</v>
      </c>
      <c r="I56">
        <f>+G56</f>
        <v>0.10222200000862358</v>
      </c>
      <c r="O56">
        <f t="shared" ca="1" si="2"/>
        <v>9.898753154060666E-2</v>
      </c>
      <c r="Q56" s="2">
        <f t="shared" si="3"/>
        <v>40828.389300000003</v>
      </c>
    </row>
    <row r="57" spans="1:17">
      <c r="A57" s="13" t="s">
        <v>54</v>
      </c>
      <c r="B57" s="14" t="s">
        <v>28</v>
      </c>
      <c r="C57" s="15">
        <v>55855.424299999999</v>
      </c>
      <c r="D57" s="15">
        <v>2.0000000000000001E-4</v>
      </c>
      <c r="E57" s="19">
        <f t="shared" si="0"/>
        <v>18392.104597403089</v>
      </c>
      <c r="F57">
        <f t="shared" si="1"/>
        <v>18392</v>
      </c>
      <c r="G57">
        <f t="shared" si="4"/>
        <v>9.9227999999129679E-2</v>
      </c>
      <c r="I57">
        <f>+G57</f>
        <v>9.9227999999129679E-2</v>
      </c>
      <c r="O57">
        <f t="shared" ca="1" si="2"/>
        <v>9.9127116180947134E-2</v>
      </c>
      <c r="Q57" s="2">
        <f t="shared" si="3"/>
        <v>40836.924299999999</v>
      </c>
    </row>
    <row r="58" spans="1:17">
      <c r="A58" s="13" t="s">
        <v>54</v>
      </c>
      <c r="B58" s="14" t="s">
        <v>28</v>
      </c>
      <c r="C58" s="15">
        <v>55855.424789999997</v>
      </c>
      <c r="D58" s="15">
        <v>1E-4</v>
      </c>
      <c r="E58" s="19">
        <f t="shared" si="0"/>
        <v>18392.105113917856</v>
      </c>
      <c r="F58">
        <f t="shared" si="1"/>
        <v>18392</v>
      </c>
      <c r="G58">
        <f t="shared" si="4"/>
        <v>9.9717999997665174E-2</v>
      </c>
      <c r="I58">
        <f>+G58</f>
        <v>9.9717999997665174E-2</v>
      </c>
      <c r="O58">
        <f t="shared" ca="1" si="2"/>
        <v>9.9127116180947134E-2</v>
      </c>
      <c r="Q58" s="2">
        <f t="shared" si="3"/>
        <v>40836.924789999997</v>
      </c>
    </row>
    <row r="59" spans="1:17">
      <c r="A59" s="13" t="s">
        <v>54</v>
      </c>
      <c r="B59" s="14" t="s">
        <v>28</v>
      </c>
      <c r="C59" s="15">
        <v>55855.425280000003</v>
      </c>
      <c r="D59" s="15">
        <v>2.0000000000000001E-4</v>
      </c>
      <c r="E59" s="19">
        <f t="shared" si="0"/>
        <v>18392.105630432634</v>
      </c>
      <c r="F59">
        <f t="shared" si="1"/>
        <v>18392</v>
      </c>
      <c r="G59">
        <f t="shared" si="4"/>
        <v>0.10020800000347663</v>
      </c>
      <c r="I59">
        <f>+G59</f>
        <v>0.10020800000347663</v>
      </c>
      <c r="O59">
        <f t="shared" ca="1" si="2"/>
        <v>9.9127116180947134E-2</v>
      </c>
      <c r="Q59" s="2">
        <f t="shared" si="3"/>
        <v>40836.925280000003</v>
      </c>
    </row>
    <row r="60" spans="1:17">
      <c r="A60" s="37" t="s">
        <v>240</v>
      </c>
      <c r="B60" s="38" t="s">
        <v>28</v>
      </c>
      <c r="C60" s="39">
        <v>55894.32</v>
      </c>
      <c r="E60" s="19">
        <f t="shared" si="0"/>
        <v>18433.105012723128</v>
      </c>
      <c r="F60">
        <f t="shared" si="1"/>
        <v>18433</v>
      </c>
      <c r="G60">
        <f t="shared" si="4"/>
        <v>9.962200000154553E-2</v>
      </c>
      <c r="K60">
        <f>+G60</f>
        <v>9.962200000154553E-2</v>
      </c>
      <c r="O60">
        <f t="shared" ca="1" si="2"/>
        <v>9.9763001764720388E-2</v>
      </c>
      <c r="Q60" s="2">
        <f t="shared" si="3"/>
        <v>40875.82</v>
      </c>
    </row>
    <row r="61" spans="1:17">
      <c r="A61" s="16" t="s">
        <v>53</v>
      </c>
      <c r="B61" s="17" t="s">
        <v>28</v>
      </c>
      <c r="C61" s="18">
        <v>56215.922599999998</v>
      </c>
      <c r="D61" s="18">
        <v>5.0000000000000001E-4</v>
      </c>
      <c r="E61" s="19">
        <f t="shared" si="0"/>
        <v>18772.11009986655</v>
      </c>
      <c r="F61">
        <f t="shared" si="1"/>
        <v>18772</v>
      </c>
      <c r="G61">
        <f t="shared" si="4"/>
        <v>0.10444799999822862</v>
      </c>
      <c r="I61">
        <f>+G61</f>
        <v>0.10444799999822862</v>
      </c>
      <c r="O61">
        <f t="shared" ca="1" si="2"/>
        <v>0.10502068988421129</v>
      </c>
      <c r="Q61" s="2">
        <f t="shared" si="3"/>
        <v>41197.422599999998</v>
      </c>
    </row>
    <row r="62" spans="1:17">
      <c r="A62" s="22" t="s">
        <v>56</v>
      </c>
      <c r="B62" s="23"/>
      <c r="C62" s="22">
        <v>56963.482600000003</v>
      </c>
      <c r="D62" s="22">
        <v>1.5E-3</v>
      </c>
      <c r="E62" s="19">
        <f t="shared" si="0"/>
        <v>19560.121897485526</v>
      </c>
      <c r="F62">
        <f t="shared" si="1"/>
        <v>19560</v>
      </c>
      <c r="G62">
        <f t="shared" si="4"/>
        <v>0.11564000000362284</v>
      </c>
      <c r="I62">
        <f>+G62</f>
        <v>0.11564000000362284</v>
      </c>
      <c r="O62">
        <f t="shared" ca="1" si="2"/>
        <v>0.11724210061624327</v>
      </c>
      <c r="Q62" s="2">
        <f t="shared" si="3"/>
        <v>41944.982600000003</v>
      </c>
    </row>
    <row r="63" spans="1:17">
      <c r="B63" s="3"/>
      <c r="E63" s="19"/>
      <c r="Q63" s="2"/>
    </row>
    <row r="64" spans="1:17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topLeftCell="A13" workbookViewId="0">
      <selection activeCell="A28" sqref="A28:C51"/>
    </sheetView>
  </sheetViews>
  <sheetFormatPr defaultRowHeight="12.75"/>
  <cols>
    <col min="1" max="1" width="19.7109375" style="4" customWidth="1"/>
    <col min="2" max="2" width="4.42578125" style="7" customWidth="1"/>
    <col min="3" max="3" width="12.7109375" style="4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>
      <c r="A1" s="24" t="s">
        <v>57</v>
      </c>
      <c r="I1" s="25" t="s">
        <v>58</v>
      </c>
      <c r="J1" s="26" t="s">
        <v>59</v>
      </c>
    </row>
    <row r="2" spans="1:16">
      <c r="I2" s="27" t="s">
        <v>60</v>
      </c>
      <c r="J2" s="28" t="s">
        <v>61</v>
      </c>
    </row>
    <row r="3" spans="1:16">
      <c r="A3" s="29" t="s">
        <v>62</v>
      </c>
      <c r="I3" s="27" t="s">
        <v>63</v>
      </c>
      <c r="J3" s="28" t="s">
        <v>64</v>
      </c>
    </row>
    <row r="4" spans="1:16">
      <c r="I4" s="27" t="s">
        <v>65</v>
      </c>
      <c r="J4" s="28" t="s">
        <v>64</v>
      </c>
    </row>
    <row r="5" spans="1:16" ht="13.5" thickBot="1">
      <c r="I5" s="30" t="s">
        <v>66</v>
      </c>
      <c r="J5" s="31" t="s">
        <v>67</v>
      </c>
    </row>
    <row r="10" spans="1:16" ht="13.5" thickBot="1"/>
    <row r="11" spans="1:16" ht="12.75" customHeight="1" thickBot="1">
      <c r="A11" s="4" t="str">
        <f t="shared" ref="A11:A51" si="0">P11</f>
        <v>BAVM 91 </v>
      </c>
      <c r="B11" s="3" t="str">
        <f t="shared" ref="B11:B51" si="1">IF(H11=INT(H11),"I","II")</f>
        <v>I</v>
      </c>
      <c r="C11" s="4">
        <f t="shared" ref="C11:C51" si="2">1*G11</f>
        <v>49658.6466</v>
      </c>
      <c r="D11" s="7" t="str">
        <f t="shared" ref="D11:D51" si="3">VLOOKUP(F11,I$1:J$5,2,FALSE)</f>
        <v>vis</v>
      </c>
      <c r="E11" s="32">
        <f>VLOOKUP(C11,Active!C$21:E$969,3,FALSE)</f>
        <v>11860.008264236307</v>
      </c>
      <c r="F11" s="3" t="s">
        <v>66</v>
      </c>
      <c r="G11" s="7" t="str">
        <f t="shared" ref="G11:G51" si="4">MID(I11,3,LEN(I11)-3)</f>
        <v>49658.6466</v>
      </c>
      <c r="H11" s="4">
        <f t="shared" ref="H11:H51" si="5">1*K11</f>
        <v>11860</v>
      </c>
      <c r="I11" s="33" t="s">
        <v>123</v>
      </c>
      <c r="J11" s="34" t="s">
        <v>124</v>
      </c>
      <c r="K11" s="33">
        <v>11860</v>
      </c>
      <c r="L11" s="33" t="s">
        <v>125</v>
      </c>
      <c r="M11" s="34" t="s">
        <v>126</v>
      </c>
      <c r="N11" s="34" t="s">
        <v>127</v>
      </c>
      <c r="O11" s="35" t="s">
        <v>128</v>
      </c>
      <c r="P11" s="36" t="s">
        <v>129</v>
      </c>
    </row>
    <row r="12" spans="1:16" ht="12.75" customHeight="1" thickBot="1">
      <c r="A12" s="4" t="str">
        <f t="shared" si="0"/>
        <v>BAVM 172 </v>
      </c>
      <c r="B12" s="3" t="str">
        <f t="shared" si="1"/>
        <v>I</v>
      </c>
      <c r="C12" s="4">
        <f t="shared" si="2"/>
        <v>51434.578000000001</v>
      </c>
      <c r="D12" s="7" t="str">
        <f t="shared" si="3"/>
        <v>vis</v>
      </c>
      <c r="E12" s="32">
        <f>VLOOKUP(C12,Active!C$21:E$969,3,FALSE)</f>
        <v>13732.038462430404</v>
      </c>
      <c r="F12" s="3" t="s">
        <v>66</v>
      </c>
      <c r="G12" s="7" t="str">
        <f t="shared" si="4"/>
        <v>51434.5780</v>
      </c>
      <c r="H12" s="4">
        <f t="shared" si="5"/>
        <v>13732</v>
      </c>
      <c r="I12" s="33" t="s">
        <v>130</v>
      </c>
      <c r="J12" s="34" t="s">
        <v>131</v>
      </c>
      <c r="K12" s="33">
        <v>13732</v>
      </c>
      <c r="L12" s="33" t="s">
        <v>132</v>
      </c>
      <c r="M12" s="34" t="s">
        <v>126</v>
      </c>
      <c r="N12" s="34" t="s">
        <v>127</v>
      </c>
      <c r="O12" s="35" t="s">
        <v>128</v>
      </c>
      <c r="P12" s="36" t="s">
        <v>133</v>
      </c>
    </row>
    <row r="13" spans="1:16" ht="12.75" customHeight="1" thickBot="1">
      <c r="A13" s="4" t="str">
        <f t="shared" si="0"/>
        <v>IBVS 5378 </v>
      </c>
      <c r="B13" s="3" t="str">
        <f t="shared" si="1"/>
        <v>I</v>
      </c>
      <c r="C13" s="4">
        <f t="shared" si="2"/>
        <v>52596.709799999997</v>
      </c>
      <c r="D13" s="7" t="str">
        <f t="shared" si="3"/>
        <v>vis</v>
      </c>
      <c r="E13" s="32">
        <f>VLOOKUP(C13,Active!C$21:E$969,3,FALSE)</f>
        <v>14957.055275513192</v>
      </c>
      <c r="F13" s="3" t="s">
        <v>66</v>
      </c>
      <c r="G13" s="7" t="str">
        <f t="shared" si="4"/>
        <v>52596.7098</v>
      </c>
      <c r="H13" s="4">
        <f t="shared" si="5"/>
        <v>14957</v>
      </c>
      <c r="I13" s="33" t="s">
        <v>140</v>
      </c>
      <c r="J13" s="34" t="s">
        <v>141</v>
      </c>
      <c r="K13" s="33">
        <v>14957</v>
      </c>
      <c r="L13" s="33" t="s">
        <v>142</v>
      </c>
      <c r="M13" s="34" t="s">
        <v>126</v>
      </c>
      <c r="N13" s="34" t="s">
        <v>137</v>
      </c>
      <c r="O13" s="35" t="s">
        <v>143</v>
      </c>
      <c r="P13" s="36" t="s">
        <v>144</v>
      </c>
    </row>
    <row r="14" spans="1:16" ht="12.75" customHeight="1" thickBot="1">
      <c r="A14" s="4" t="str">
        <f t="shared" si="0"/>
        <v>BAVM 172 </v>
      </c>
      <c r="B14" s="3" t="str">
        <f t="shared" si="1"/>
        <v>I</v>
      </c>
      <c r="C14" s="4">
        <f t="shared" si="2"/>
        <v>52913.565900000001</v>
      </c>
      <c r="D14" s="7" t="str">
        <f t="shared" si="3"/>
        <v>vis</v>
      </c>
      <c r="E14" s="32">
        <f>VLOOKUP(C14,Active!C$21:E$969,3,FALSE)</f>
        <v>15291.057021122295</v>
      </c>
      <c r="F14" s="3" t="s">
        <v>66</v>
      </c>
      <c r="G14" s="7" t="str">
        <f t="shared" si="4"/>
        <v>52913.5659</v>
      </c>
      <c r="H14" s="4">
        <f t="shared" si="5"/>
        <v>15291</v>
      </c>
      <c r="I14" s="33" t="s">
        <v>145</v>
      </c>
      <c r="J14" s="34" t="s">
        <v>146</v>
      </c>
      <c r="K14" s="33">
        <v>15291</v>
      </c>
      <c r="L14" s="33" t="s">
        <v>147</v>
      </c>
      <c r="M14" s="34" t="s">
        <v>126</v>
      </c>
      <c r="N14" s="34" t="s">
        <v>148</v>
      </c>
      <c r="O14" s="35" t="s">
        <v>149</v>
      </c>
      <c r="P14" s="36" t="s">
        <v>133</v>
      </c>
    </row>
    <row r="15" spans="1:16" ht="12.75" customHeight="1" thickBot="1">
      <c r="A15" s="4" t="str">
        <f t="shared" si="0"/>
        <v>BAVM 173 </v>
      </c>
      <c r="B15" s="3" t="str">
        <f t="shared" si="1"/>
        <v>I</v>
      </c>
      <c r="C15" s="4">
        <f t="shared" si="2"/>
        <v>53266.475400000003</v>
      </c>
      <c r="D15" s="7" t="str">
        <f t="shared" si="3"/>
        <v>vis</v>
      </c>
      <c r="E15" s="32">
        <f>VLOOKUP(C15,Active!C$21:E$969,3,FALSE)</f>
        <v>15663.063080156771</v>
      </c>
      <c r="F15" s="3" t="s">
        <v>66</v>
      </c>
      <c r="G15" s="7" t="str">
        <f t="shared" si="4"/>
        <v>53266.4754</v>
      </c>
      <c r="H15" s="4">
        <f t="shared" si="5"/>
        <v>15663</v>
      </c>
      <c r="I15" s="33" t="s">
        <v>150</v>
      </c>
      <c r="J15" s="34" t="s">
        <v>151</v>
      </c>
      <c r="K15" s="33" t="s">
        <v>152</v>
      </c>
      <c r="L15" s="33" t="s">
        <v>153</v>
      </c>
      <c r="M15" s="34" t="s">
        <v>126</v>
      </c>
      <c r="N15" s="34" t="s">
        <v>127</v>
      </c>
      <c r="O15" s="35" t="s">
        <v>154</v>
      </c>
      <c r="P15" s="36" t="s">
        <v>155</v>
      </c>
    </row>
    <row r="16" spans="1:16" ht="12.75" customHeight="1" thickBot="1">
      <c r="A16" s="4" t="str">
        <f t="shared" si="0"/>
        <v>IBVS 5653 </v>
      </c>
      <c r="B16" s="3" t="str">
        <f t="shared" si="1"/>
        <v>I</v>
      </c>
      <c r="C16" s="4">
        <f t="shared" si="2"/>
        <v>53302.523500000003</v>
      </c>
      <c r="D16" s="7" t="str">
        <f t="shared" si="3"/>
        <v>vis</v>
      </c>
      <c r="E16" s="32">
        <f>VLOOKUP(C16,Active!C$21:E$969,3,FALSE)</f>
        <v>15701.061806789749</v>
      </c>
      <c r="F16" s="3" t="s">
        <v>66</v>
      </c>
      <c r="G16" s="7" t="str">
        <f t="shared" si="4"/>
        <v>53302.5235</v>
      </c>
      <c r="H16" s="4">
        <f t="shared" si="5"/>
        <v>15701</v>
      </c>
      <c r="I16" s="33" t="s">
        <v>156</v>
      </c>
      <c r="J16" s="34" t="s">
        <v>157</v>
      </c>
      <c r="K16" s="33" t="s">
        <v>158</v>
      </c>
      <c r="L16" s="33" t="s">
        <v>159</v>
      </c>
      <c r="M16" s="34" t="s">
        <v>126</v>
      </c>
      <c r="N16" s="34" t="s">
        <v>137</v>
      </c>
      <c r="O16" s="35" t="s">
        <v>160</v>
      </c>
      <c r="P16" s="36" t="s">
        <v>161</v>
      </c>
    </row>
    <row r="17" spans="1:16" ht="12.75" customHeight="1" thickBot="1">
      <c r="A17" s="4" t="str">
        <f t="shared" si="0"/>
        <v>BAVM 178 </v>
      </c>
      <c r="B17" s="3" t="str">
        <f t="shared" si="1"/>
        <v>I</v>
      </c>
      <c r="C17" s="4">
        <f t="shared" si="2"/>
        <v>53673.455300000001</v>
      </c>
      <c r="D17" s="7" t="str">
        <f t="shared" si="3"/>
        <v>vis</v>
      </c>
      <c r="E17" s="32">
        <f>VLOOKUP(C17,Active!C$21:E$969,3,FALSE)</f>
        <v>16092.065384445108</v>
      </c>
      <c r="F17" s="3" t="s">
        <v>66</v>
      </c>
      <c r="G17" s="7" t="str">
        <f t="shared" si="4"/>
        <v>53673.4553</v>
      </c>
      <c r="H17" s="4">
        <f t="shared" si="5"/>
        <v>16092</v>
      </c>
      <c r="I17" s="33" t="s">
        <v>162</v>
      </c>
      <c r="J17" s="34" t="s">
        <v>163</v>
      </c>
      <c r="K17" s="33" t="s">
        <v>164</v>
      </c>
      <c r="L17" s="33" t="s">
        <v>165</v>
      </c>
      <c r="M17" s="34" t="s">
        <v>166</v>
      </c>
      <c r="N17" s="34" t="s">
        <v>127</v>
      </c>
      <c r="O17" s="35" t="s">
        <v>167</v>
      </c>
      <c r="P17" s="36" t="s">
        <v>168</v>
      </c>
    </row>
    <row r="18" spans="1:16" ht="12.75" customHeight="1" thickBot="1">
      <c r="A18" s="4" t="str">
        <f t="shared" si="0"/>
        <v>BAVM 209 </v>
      </c>
      <c r="B18" s="3" t="str">
        <f t="shared" si="1"/>
        <v>II</v>
      </c>
      <c r="C18" s="4">
        <f t="shared" si="2"/>
        <v>54831.321900000003</v>
      </c>
      <c r="D18" s="7" t="str">
        <f t="shared" si="3"/>
        <v>vis</v>
      </c>
      <c r="E18" s="32">
        <f>VLOOKUP(C18,Active!C$21:E$969,3,FALSE)</f>
        <v>17312.586199990306</v>
      </c>
      <c r="F18" s="3" t="s">
        <v>66</v>
      </c>
      <c r="G18" s="7" t="str">
        <f t="shared" si="4"/>
        <v>54831.3219</v>
      </c>
      <c r="H18" s="4">
        <f t="shared" si="5"/>
        <v>17312.5</v>
      </c>
      <c r="I18" s="33" t="s">
        <v>184</v>
      </c>
      <c r="J18" s="34" t="s">
        <v>185</v>
      </c>
      <c r="K18" s="33" t="s">
        <v>186</v>
      </c>
      <c r="L18" s="33" t="s">
        <v>187</v>
      </c>
      <c r="M18" s="34" t="s">
        <v>166</v>
      </c>
      <c r="N18" s="34" t="s">
        <v>148</v>
      </c>
      <c r="O18" s="35" t="s">
        <v>188</v>
      </c>
      <c r="P18" s="36" t="s">
        <v>189</v>
      </c>
    </row>
    <row r="19" spans="1:16" ht="12.75" customHeight="1" thickBot="1">
      <c r="A19" s="4" t="str">
        <f t="shared" si="0"/>
        <v>BAVM 209 </v>
      </c>
      <c r="B19" s="3" t="str">
        <f t="shared" si="1"/>
        <v>I</v>
      </c>
      <c r="C19" s="4">
        <f t="shared" si="2"/>
        <v>54842.231399999997</v>
      </c>
      <c r="D19" s="7" t="str">
        <f t="shared" si="3"/>
        <v>vis</v>
      </c>
      <c r="E19" s="32">
        <f>VLOOKUP(C19,Active!C$21:E$969,3,FALSE)</f>
        <v>17324.086032386527</v>
      </c>
      <c r="F19" s="3" t="s">
        <v>66</v>
      </c>
      <c r="G19" s="7" t="str">
        <f t="shared" si="4"/>
        <v>54842.2314</v>
      </c>
      <c r="H19" s="4">
        <f t="shared" si="5"/>
        <v>17324</v>
      </c>
      <c r="I19" s="33" t="s">
        <v>190</v>
      </c>
      <c r="J19" s="34" t="s">
        <v>191</v>
      </c>
      <c r="K19" s="33" t="s">
        <v>192</v>
      </c>
      <c r="L19" s="33" t="s">
        <v>193</v>
      </c>
      <c r="M19" s="34" t="s">
        <v>166</v>
      </c>
      <c r="N19" s="34" t="s">
        <v>148</v>
      </c>
      <c r="O19" s="35" t="s">
        <v>188</v>
      </c>
      <c r="P19" s="36" t="s">
        <v>189</v>
      </c>
    </row>
    <row r="20" spans="1:16" ht="12.75" customHeight="1" thickBot="1">
      <c r="A20" s="4" t="str">
        <f t="shared" si="0"/>
        <v>BAVM 220 </v>
      </c>
      <c r="B20" s="3" t="str">
        <f t="shared" si="1"/>
        <v>I</v>
      </c>
      <c r="C20" s="4">
        <f t="shared" si="2"/>
        <v>55446.541700000002</v>
      </c>
      <c r="D20" s="7" t="str">
        <f t="shared" si="3"/>
        <v>vis</v>
      </c>
      <c r="E20" s="32">
        <f>VLOOKUP(C20,Active!C$21:E$969,3,FALSE)</f>
        <v>17961.096634642752</v>
      </c>
      <c r="F20" s="3" t="s">
        <v>66</v>
      </c>
      <c r="G20" s="7" t="str">
        <f t="shared" si="4"/>
        <v>55446.5417</v>
      </c>
      <c r="H20" s="4">
        <f t="shared" si="5"/>
        <v>17961</v>
      </c>
      <c r="I20" s="33" t="s">
        <v>208</v>
      </c>
      <c r="J20" s="34" t="s">
        <v>209</v>
      </c>
      <c r="K20" s="33" t="s">
        <v>210</v>
      </c>
      <c r="L20" s="33" t="s">
        <v>211</v>
      </c>
      <c r="M20" s="34" t="s">
        <v>166</v>
      </c>
      <c r="N20" s="34" t="s">
        <v>127</v>
      </c>
      <c r="O20" s="35" t="s">
        <v>212</v>
      </c>
      <c r="P20" s="36" t="s">
        <v>213</v>
      </c>
    </row>
    <row r="21" spans="1:16" ht="12.75" customHeight="1" thickBot="1">
      <c r="A21" s="4" t="str">
        <f t="shared" si="0"/>
        <v>OEJV 0137 </v>
      </c>
      <c r="B21" s="3" t="str">
        <f t="shared" si="1"/>
        <v>I</v>
      </c>
      <c r="C21" s="4">
        <f t="shared" si="2"/>
        <v>55463.6181</v>
      </c>
      <c r="D21" s="7" t="str">
        <f t="shared" si="3"/>
        <v>vis</v>
      </c>
      <c r="E21" s="32">
        <f>VLOOKUP(C21,Active!C$21:E$969,3,FALSE)</f>
        <v>17979.0970689368</v>
      </c>
      <c r="F21" s="3" t="s">
        <v>66</v>
      </c>
      <c r="G21" s="7" t="str">
        <f t="shared" si="4"/>
        <v>55463.6181</v>
      </c>
      <c r="H21" s="4">
        <f t="shared" si="5"/>
        <v>17979</v>
      </c>
      <c r="I21" s="33" t="s">
        <v>214</v>
      </c>
      <c r="J21" s="34" t="s">
        <v>215</v>
      </c>
      <c r="K21" s="33" t="s">
        <v>216</v>
      </c>
      <c r="L21" s="33" t="s">
        <v>217</v>
      </c>
      <c r="M21" s="34" t="s">
        <v>166</v>
      </c>
      <c r="N21" s="34" t="s">
        <v>173</v>
      </c>
      <c r="O21" s="35" t="s">
        <v>174</v>
      </c>
      <c r="P21" s="36" t="s">
        <v>207</v>
      </c>
    </row>
    <row r="22" spans="1:16" ht="12.75" customHeight="1" thickBot="1">
      <c r="A22" s="4" t="str">
        <f t="shared" si="0"/>
        <v>IBVS 6011 </v>
      </c>
      <c r="B22" s="3" t="str">
        <f t="shared" si="1"/>
        <v>I</v>
      </c>
      <c r="C22" s="4">
        <f t="shared" si="2"/>
        <v>55846.889300000003</v>
      </c>
      <c r="D22" s="7" t="str">
        <f t="shared" si="3"/>
        <v>vis</v>
      </c>
      <c r="E22" s="32">
        <f>VLOOKUP(C22,Active!C$21:E$969,3,FALSE)</f>
        <v>18383.107753413744</v>
      </c>
      <c r="F22" s="3" t="s">
        <v>66</v>
      </c>
      <c r="G22" s="7" t="str">
        <f t="shared" si="4"/>
        <v>55846.8893</v>
      </c>
      <c r="H22" s="4">
        <f t="shared" si="5"/>
        <v>18383</v>
      </c>
      <c r="I22" s="33" t="s">
        <v>218</v>
      </c>
      <c r="J22" s="34" t="s">
        <v>219</v>
      </c>
      <c r="K22" s="33" t="s">
        <v>220</v>
      </c>
      <c r="L22" s="33" t="s">
        <v>221</v>
      </c>
      <c r="M22" s="34" t="s">
        <v>166</v>
      </c>
      <c r="N22" s="34" t="s">
        <v>66</v>
      </c>
      <c r="O22" s="35" t="s">
        <v>222</v>
      </c>
      <c r="P22" s="36" t="s">
        <v>223</v>
      </c>
    </row>
    <row r="23" spans="1:16" ht="12.75" customHeight="1" thickBot="1">
      <c r="A23" s="4" t="str">
        <f t="shared" si="0"/>
        <v>OEJV 0160 </v>
      </c>
      <c r="B23" s="3" t="str">
        <f t="shared" si="1"/>
        <v>I</v>
      </c>
      <c r="C23" s="4">
        <f t="shared" si="2"/>
        <v>55855.424299999999</v>
      </c>
      <c r="D23" s="7" t="str">
        <f t="shared" si="3"/>
        <v>vis</v>
      </c>
      <c r="E23" s="32">
        <f>VLOOKUP(C23,Active!C$21:E$969,3,FALSE)</f>
        <v>18392.104597403089</v>
      </c>
      <c r="F23" s="3" t="s">
        <v>66</v>
      </c>
      <c r="G23" s="7" t="str">
        <f t="shared" si="4"/>
        <v>55855.4243</v>
      </c>
      <c r="H23" s="4">
        <f t="shared" si="5"/>
        <v>18392</v>
      </c>
      <c r="I23" s="33" t="s">
        <v>224</v>
      </c>
      <c r="J23" s="34" t="s">
        <v>225</v>
      </c>
      <c r="K23" s="33" t="s">
        <v>226</v>
      </c>
      <c r="L23" s="33" t="s">
        <v>227</v>
      </c>
      <c r="M23" s="34" t="s">
        <v>166</v>
      </c>
      <c r="N23" s="34" t="s">
        <v>28</v>
      </c>
      <c r="O23" s="35" t="s">
        <v>228</v>
      </c>
      <c r="P23" s="36" t="s">
        <v>229</v>
      </c>
    </row>
    <row r="24" spans="1:16" ht="12.75" customHeight="1" thickBot="1">
      <c r="A24" s="4" t="str">
        <f t="shared" si="0"/>
        <v>OEJV 0160 </v>
      </c>
      <c r="B24" s="3" t="str">
        <f t="shared" si="1"/>
        <v>I</v>
      </c>
      <c r="C24" s="4">
        <f t="shared" si="2"/>
        <v>55855.424789999997</v>
      </c>
      <c r="D24" s="7" t="str">
        <f t="shared" si="3"/>
        <v>vis</v>
      </c>
      <c r="E24" s="32">
        <f>VLOOKUP(C24,Active!C$21:E$969,3,FALSE)</f>
        <v>18392.105113917856</v>
      </c>
      <c r="F24" s="3" t="s">
        <v>66</v>
      </c>
      <c r="G24" s="7" t="str">
        <f t="shared" si="4"/>
        <v>55855.42479</v>
      </c>
      <c r="H24" s="4">
        <f t="shared" si="5"/>
        <v>18392</v>
      </c>
      <c r="I24" s="33" t="s">
        <v>230</v>
      </c>
      <c r="J24" s="34" t="s">
        <v>231</v>
      </c>
      <c r="K24" s="33" t="s">
        <v>226</v>
      </c>
      <c r="L24" s="33" t="s">
        <v>232</v>
      </c>
      <c r="M24" s="34" t="s">
        <v>166</v>
      </c>
      <c r="N24" s="34" t="s">
        <v>173</v>
      </c>
      <c r="O24" s="35" t="s">
        <v>228</v>
      </c>
      <c r="P24" s="36" t="s">
        <v>229</v>
      </c>
    </row>
    <row r="25" spans="1:16" ht="12.75" customHeight="1" thickBot="1">
      <c r="A25" s="4" t="str">
        <f t="shared" si="0"/>
        <v>OEJV 0160 </v>
      </c>
      <c r="B25" s="3" t="str">
        <f t="shared" si="1"/>
        <v>I</v>
      </c>
      <c r="C25" s="4">
        <f t="shared" si="2"/>
        <v>55855.425280000003</v>
      </c>
      <c r="D25" s="7" t="str">
        <f t="shared" si="3"/>
        <v>vis</v>
      </c>
      <c r="E25" s="32">
        <f>VLOOKUP(C25,Active!C$21:E$969,3,FALSE)</f>
        <v>18392.105630432634</v>
      </c>
      <c r="F25" s="3" t="s">
        <v>66</v>
      </c>
      <c r="G25" s="7" t="str">
        <f t="shared" si="4"/>
        <v>55855.42528</v>
      </c>
      <c r="H25" s="4">
        <f t="shared" si="5"/>
        <v>18392</v>
      </c>
      <c r="I25" s="33" t="s">
        <v>233</v>
      </c>
      <c r="J25" s="34" t="s">
        <v>234</v>
      </c>
      <c r="K25" s="33" t="s">
        <v>226</v>
      </c>
      <c r="L25" s="33" t="s">
        <v>235</v>
      </c>
      <c r="M25" s="34" t="s">
        <v>166</v>
      </c>
      <c r="N25" s="34" t="s">
        <v>66</v>
      </c>
      <c r="O25" s="35" t="s">
        <v>228</v>
      </c>
      <c r="P25" s="36" t="s">
        <v>229</v>
      </c>
    </row>
    <row r="26" spans="1:16" ht="12.75" customHeight="1" thickBot="1">
      <c r="A26" s="4" t="str">
        <f t="shared" si="0"/>
        <v>IBVS 6042 </v>
      </c>
      <c r="B26" s="3" t="str">
        <f t="shared" si="1"/>
        <v>I</v>
      </c>
      <c r="C26" s="4">
        <f t="shared" si="2"/>
        <v>56215.922599999998</v>
      </c>
      <c r="D26" s="7" t="str">
        <f t="shared" si="3"/>
        <v>vis</v>
      </c>
      <c r="E26" s="32">
        <f>VLOOKUP(C26,Active!C$21:E$969,3,FALSE)</f>
        <v>18772.11009986655</v>
      </c>
      <c r="F26" s="3" t="s">
        <v>66</v>
      </c>
      <c r="G26" s="7" t="str">
        <f t="shared" si="4"/>
        <v>56215.9226</v>
      </c>
      <c r="H26" s="4">
        <f t="shared" si="5"/>
        <v>18772</v>
      </c>
      <c r="I26" s="33" t="s">
        <v>241</v>
      </c>
      <c r="J26" s="34" t="s">
        <v>242</v>
      </c>
      <c r="K26" s="33">
        <v>18772</v>
      </c>
      <c r="L26" s="33" t="s">
        <v>243</v>
      </c>
      <c r="M26" s="34" t="s">
        <v>166</v>
      </c>
      <c r="N26" s="34" t="s">
        <v>66</v>
      </c>
      <c r="O26" s="35" t="s">
        <v>222</v>
      </c>
      <c r="P26" s="36" t="s">
        <v>244</v>
      </c>
    </row>
    <row r="27" spans="1:16" ht="12.75" customHeight="1" thickBot="1">
      <c r="A27" s="4" t="str">
        <f t="shared" si="0"/>
        <v>BAVM 239 </v>
      </c>
      <c r="B27" s="3" t="str">
        <f t="shared" si="1"/>
        <v>I</v>
      </c>
      <c r="C27" s="4">
        <f t="shared" si="2"/>
        <v>56963.482600000003</v>
      </c>
      <c r="D27" s="7" t="str">
        <f t="shared" si="3"/>
        <v>vis</v>
      </c>
      <c r="E27" s="32">
        <f>VLOOKUP(C27,Active!C$21:E$969,3,FALSE)</f>
        <v>19560.121897485526</v>
      </c>
      <c r="F27" s="3" t="s">
        <v>66</v>
      </c>
      <c r="G27" s="7" t="str">
        <f t="shared" si="4"/>
        <v>56963.4826</v>
      </c>
      <c r="H27" s="4">
        <f t="shared" si="5"/>
        <v>19560</v>
      </c>
      <c r="I27" s="33" t="s">
        <v>245</v>
      </c>
      <c r="J27" s="34" t="s">
        <v>246</v>
      </c>
      <c r="K27" s="33">
        <v>19560</v>
      </c>
      <c r="L27" s="33" t="s">
        <v>247</v>
      </c>
      <c r="M27" s="34" t="s">
        <v>166</v>
      </c>
      <c r="N27" s="34">
        <v>0</v>
      </c>
      <c r="O27" s="35" t="s">
        <v>188</v>
      </c>
      <c r="P27" s="36" t="s">
        <v>248</v>
      </c>
    </row>
    <row r="28" spans="1:16" ht="12.75" customHeight="1" thickBot="1">
      <c r="A28" s="4" t="str">
        <f t="shared" si="0"/>
        <v> VSS 9.132 </v>
      </c>
      <c r="B28" s="3" t="str">
        <f t="shared" si="1"/>
        <v>I</v>
      </c>
      <c r="C28" s="4">
        <f t="shared" si="2"/>
        <v>38407.445</v>
      </c>
      <c r="D28" s="7" t="str">
        <f t="shared" si="3"/>
        <v>vis</v>
      </c>
      <c r="E28" s="32">
        <f>VLOOKUP(C28,Active!C$21:E$969,3,FALSE)</f>
        <v>-1.5811676606327121E-2</v>
      </c>
      <c r="F28" s="3" t="s">
        <v>66</v>
      </c>
      <c r="G28" s="7" t="str">
        <f t="shared" si="4"/>
        <v>38407.445</v>
      </c>
      <c r="H28" s="4">
        <f t="shared" si="5"/>
        <v>0</v>
      </c>
      <c r="I28" s="33" t="s">
        <v>69</v>
      </c>
      <c r="J28" s="34" t="s">
        <v>70</v>
      </c>
      <c r="K28" s="33">
        <v>0</v>
      </c>
      <c r="L28" s="33" t="s">
        <v>71</v>
      </c>
      <c r="M28" s="34" t="s">
        <v>72</v>
      </c>
      <c r="N28" s="34"/>
      <c r="O28" s="35" t="s">
        <v>73</v>
      </c>
      <c r="P28" s="35" t="s">
        <v>74</v>
      </c>
    </row>
    <row r="29" spans="1:16" ht="12.75" customHeight="1" thickBot="1">
      <c r="A29" s="4" t="str">
        <f t="shared" si="0"/>
        <v> AN 289.140 </v>
      </c>
      <c r="B29" s="3" t="str">
        <f t="shared" si="1"/>
        <v>I</v>
      </c>
      <c r="C29" s="4">
        <f t="shared" si="2"/>
        <v>38739.436000000002</v>
      </c>
      <c r="D29" s="7" t="str">
        <f t="shared" si="3"/>
        <v>vis</v>
      </c>
      <c r="E29" s="32">
        <f>VLOOKUP(C29,Active!C$21:E$969,3,FALSE)</f>
        <v>349.93981021771873</v>
      </c>
      <c r="F29" s="3" t="s">
        <v>66</v>
      </c>
      <c r="G29" s="7" t="str">
        <f t="shared" si="4"/>
        <v>38739.436</v>
      </c>
      <c r="H29" s="4">
        <f t="shared" si="5"/>
        <v>350</v>
      </c>
      <c r="I29" s="33" t="s">
        <v>75</v>
      </c>
      <c r="J29" s="34" t="s">
        <v>76</v>
      </c>
      <c r="K29" s="33">
        <v>350</v>
      </c>
      <c r="L29" s="33" t="s">
        <v>77</v>
      </c>
      <c r="M29" s="34" t="s">
        <v>72</v>
      </c>
      <c r="N29" s="34"/>
      <c r="O29" s="35" t="s">
        <v>78</v>
      </c>
      <c r="P29" s="35" t="s">
        <v>79</v>
      </c>
    </row>
    <row r="30" spans="1:16" ht="12.75" customHeight="1" thickBot="1">
      <c r="A30" s="4" t="str">
        <f t="shared" si="0"/>
        <v> VSS 9.132 </v>
      </c>
      <c r="B30" s="3" t="str">
        <f t="shared" si="1"/>
        <v>I</v>
      </c>
      <c r="C30" s="4">
        <f t="shared" si="2"/>
        <v>38739.478999999999</v>
      </c>
      <c r="D30" s="7" t="str">
        <f t="shared" si="3"/>
        <v>vis</v>
      </c>
      <c r="E30" s="32">
        <f>VLOOKUP(C30,Active!C$21:E$969,3,FALSE)</f>
        <v>349.98513702398969</v>
      </c>
      <c r="F30" s="3" t="s">
        <v>66</v>
      </c>
      <c r="G30" s="7" t="str">
        <f t="shared" si="4"/>
        <v>38739.479</v>
      </c>
      <c r="H30" s="4">
        <f t="shared" si="5"/>
        <v>350</v>
      </c>
      <c r="I30" s="33" t="s">
        <v>80</v>
      </c>
      <c r="J30" s="34" t="s">
        <v>81</v>
      </c>
      <c r="K30" s="33">
        <v>350</v>
      </c>
      <c r="L30" s="33" t="s">
        <v>82</v>
      </c>
      <c r="M30" s="34" t="s">
        <v>72</v>
      </c>
      <c r="N30" s="34"/>
      <c r="O30" s="35" t="s">
        <v>73</v>
      </c>
      <c r="P30" s="35" t="s">
        <v>74</v>
      </c>
    </row>
    <row r="31" spans="1:16" ht="12.75" customHeight="1" thickBot="1">
      <c r="A31" s="4" t="str">
        <f t="shared" si="0"/>
        <v> VSS 9.132 </v>
      </c>
      <c r="B31" s="3" t="str">
        <f t="shared" si="1"/>
        <v>I</v>
      </c>
      <c r="C31" s="4">
        <f t="shared" si="2"/>
        <v>39055.402000000002</v>
      </c>
      <c r="D31" s="7" t="str">
        <f t="shared" si="3"/>
        <v>vis</v>
      </c>
      <c r="E31" s="32">
        <f>VLOOKUP(C31,Active!C$21:E$969,3,FALSE)</f>
        <v>683.00329093696064</v>
      </c>
      <c r="F31" s="3" t="s">
        <v>66</v>
      </c>
      <c r="G31" s="7" t="str">
        <f t="shared" si="4"/>
        <v>39055.402</v>
      </c>
      <c r="H31" s="4">
        <f t="shared" si="5"/>
        <v>683</v>
      </c>
      <c r="I31" s="33" t="s">
        <v>83</v>
      </c>
      <c r="J31" s="34" t="s">
        <v>84</v>
      </c>
      <c r="K31" s="33">
        <v>683</v>
      </c>
      <c r="L31" s="33" t="s">
        <v>85</v>
      </c>
      <c r="M31" s="34" t="s">
        <v>72</v>
      </c>
      <c r="N31" s="34"/>
      <c r="O31" s="35" t="s">
        <v>73</v>
      </c>
      <c r="P31" s="35" t="s">
        <v>74</v>
      </c>
    </row>
    <row r="32" spans="1:16" ht="12.75" customHeight="1" thickBot="1">
      <c r="A32" s="4" t="str">
        <f t="shared" si="0"/>
        <v> VSS 9.132 </v>
      </c>
      <c r="B32" s="3" t="str">
        <f t="shared" si="1"/>
        <v>I</v>
      </c>
      <c r="C32" s="4">
        <f t="shared" si="2"/>
        <v>39385.519</v>
      </c>
      <c r="D32" s="7" t="str">
        <f t="shared" si="3"/>
        <v>vis</v>
      </c>
      <c r="E32" s="32">
        <f>VLOOKUP(C32,Active!C$21:E$969,3,FALSE)</f>
        <v>1030.9835073671884</v>
      </c>
      <c r="F32" s="3" t="s">
        <v>66</v>
      </c>
      <c r="G32" s="7" t="str">
        <f t="shared" si="4"/>
        <v>39385.519</v>
      </c>
      <c r="H32" s="4">
        <f t="shared" si="5"/>
        <v>1031</v>
      </c>
      <c r="I32" s="33" t="s">
        <v>86</v>
      </c>
      <c r="J32" s="34" t="s">
        <v>87</v>
      </c>
      <c r="K32" s="33">
        <v>1031</v>
      </c>
      <c r="L32" s="33" t="s">
        <v>88</v>
      </c>
      <c r="M32" s="34" t="s">
        <v>72</v>
      </c>
      <c r="N32" s="34"/>
      <c r="O32" s="35" t="s">
        <v>73</v>
      </c>
      <c r="P32" s="35" t="s">
        <v>74</v>
      </c>
    </row>
    <row r="33" spans="1:16" ht="12.75" customHeight="1" thickBot="1">
      <c r="A33" s="4" t="str">
        <f t="shared" si="0"/>
        <v> VSS 9.132 </v>
      </c>
      <c r="B33" s="3" t="str">
        <f t="shared" si="1"/>
        <v>I</v>
      </c>
      <c r="C33" s="4">
        <f t="shared" si="2"/>
        <v>39775.436000000002</v>
      </c>
      <c r="D33" s="7" t="str">
        <f t="shared" si="3"/>
        <v>vis</v>
      </c>
      <c r="E33" s="32">
        <f>VLOOKUP(C33,Active!C$21:E$969,3,FALSE)</f>
        <v>1441.9996078704226</v>
      </c>
      <c r="F33" s="3" t="s">
        <v>66</v>
      </c>
      <c r="G33" s="7" t="str">
        <f t="shared" si="4"/>
        <v>39775.436</v>
      </c>
      <c r="H33" s="4">
        <f t="shared" si="5"/>
        <v>1442</v>
      </c>
      <c r="I33" s="33" t="s">
        <v>89</v>
      </c>
      <c r="J33" s="34" t="s">
        <v>90</v>
      </c>
      <c r="K33" s="33">
        <v>1442</v>
      </c>
      <c r="L33" s="33" t="s">
        <v>91</v>
      </c>
      <c r="M33" s="34" t="s">
        <v>72</v>
      </c>
      <c r="N33" s="34"/>
      <c r="O33" s="35" t="s">
        <v>73</v>
      </c>
      <c r="P33" s="35" t="s">
        <v>74</v>
      </c>
    </row>
    <row r="34" spans="1:16" ht="12.75" customHeight="1" thickBot="1">
      <c r="A34" s="4" t="str">
        <f t="shared" si="0"/>
        <v> VSS 9.132 </v>
      </c>
      <c r="B34" s="3" t="str">
        <f t="shared" si="1"/>
        <v>I</v>
      </c>
      <c r="C34" s="4">
        <f t="shared" si="2"/>
        <v>40258.264000000003</v>
      </c>
      <c r="D34" s="7" t="str">
        <f t="shared" si="3"/>
        <v>vis</v>
      </c>
      <c r="E34" s="32">
        <f>VLOOKUP(C34,Active!C$21:E$969,3,FALSE)</f>
        <v>1950.9542873888215</v>
      </c>
      <c r="F34" s="3" t="s">
        <v>66</v>
      </c>
      <c r="G34" s="7" t="str">
        <f t="shared" si="4"/>
        <v>40258.264</v>
      </c>
      <c r="H34" s="4">
        <f t="shared" si="5"/>
        <v>1951</v>
      </c>
      <c r="I34" s="33" t="s">
        <v>92</v>
      </c>
      <c r="J34" s="34" t="s">
        <v>93</v>
      </c>
      <c r="K34" s="33">
        <v>1951</v>
      </c>
      <c r="L34" s="33" t="s">
        <v>94</v>
      </c>
      <c r="M34" s="34" t="s">
        <v>72</v>
      </c>
      <c r="N34" s="34"/>
      <c r="O34" s="35" t="s">
        <v>73</v>
      </c>
      <c r="P34" s="35" t="s">
        <v>74</v>
      </c>
    </row>
    <row r="35" spans="1:16" ht="12.75" customHeight="1" thickBot="1">
      <c r="A35" s="4" t="str">
        <f t="shared" si="0"/>
        <v> VSS 9.132 </v>
      </c>
      <c r="B35" s="3" t="str">
        <f t="shared" si="1"/>
        <v>I</v>
      </c>
      <c r="C35" s="4">
        <f t="shared" si="2"/>
        <v>40476.480000000003</v>
      </c>
      <c r="D35" s="7" t="str">
        <f t="shared" si="3"/>
        <v>vis</v>
      </c>
      <c r="E35" s="32">
        <f>VLOOKUP(C35,Active!C$21:E$969,3,FALSE)</f>
        <v>2180.9783422195001</v>
      </c>
      <c r="F35" s="3" t="s">
        <v>66</v>
      </c>
      <c r="G35" s="7" t="str">
        <f t="shared" si="4"/>
        <v>40476.480</v>
      </c>
      <c r="H35" s="4">
        <f t="shared" si="5"/>
        <v>2181</v>
      </c>
      <c r="I35" s="33" t="s">
        <v>95</v>
      </c>
      <c r="J35" s="34" t="s">
        <v>96</v>
      </c>
      <c r="K35" s="33">
        <v>2181</v>
      </c>
      <c r="L35" s="33" t="s">
        <v>97</v>
      </c>
      <c r="M35" s="34" t="s">
        <v>72</v>
      </c>
      <c r="N35" s="34"/>
      <c r="O35" s="35" t="s">
        <v>73</v>
      </c>
      <c r="P35" s="35" t="s">
        <v>74</v>
      </c>
    </row>
    <row r="36" spans="1:16" ht="12.75" customHeight="1" thickBot="1">
      <c r="A36" s="4" t="str">
        <f t="shared" si="0"/>
        <v> VSS 9.132 </v>
      </c>
      <c r="B36" s="3" t="str">
        <f t="shared" si="1"/>
        <v>I</v>
      </c>
      <c r="C36" s="4">
        <f t="shared" si="2"/>
        <v>40477.447999999997</v>
      </c>
      <c r="D36" s="7" t="str">
        <f t="shared" si="3"/>
        <v>vis</v>
      </c>
      <c r="E36" s="32">
        <f>VLOOKUP(C36,Active!C$21:E$969,3,FALSE)</f>
        <v>2181.9987224165275</v>
      </c>
      <c r="F36" s="3" t="s">
        <v>66</v>
      </c>
      <c r="G36" s="7" t="str">
        <f t="shared" si="4"/>
        <v>40477.448</v>
      </c>
      <c r="H36" s="4">
        <f t="shared" si="5"/>
        <v>2182</v>
      </c>
      <c r="I36" s="33" t="s">
        <v>98</v>
      </c>
      <c r="J36" s="34" t="s">
        <v>99</v>
      </c>
      <c r="K36" s="33">
        <v>2182</v>
      </c>
      <c r="L36" s="33" t="s">
        <v>100</v>
      </c>
      <c r="M36" s="34" t="s">
        <v>72</v>
      </c>
      <c r="N36" s="34"/>
      <c r="O36" s="35" t="s">
        <v>73</v>
      </c>
      <c r="P36" s="35" t="s">
        <v>74</v>
      </c>
    </row>
    <row r="37" spans="1:16" ht="12.75" customHeight="1" thickBot="1">
      <c r="A37" s="4" t="str">
        <f t="shared" si="0"/>
        <v> VSS 9.132 </v>
      </c>
      <c r="B37" s="3" t="str">
        <f t="shared" si="1"/>
        <v>I</v>
      </c>
      <c r="C37" s="4">
        <f t="shared" si="2"/>
        <v>40511.591999999997</v>
      </c>
      <c r="D37" s="7" t="str">
        <f t="shared" si="3"/>
        <v>vis</v>
      </c>
      <c r="E37" s="32">
        <f>VLOOKUP(C37,Active!C$21:E$969,3,FALSE)</f>
        <v>2217.9903148210201</v>
      </c>
      <c r="F37" s="3" t="s">
        <v>66</v>
      </c>
      <c r="G37" s="7" t="str">
        <f t="shared" si="4"/>
        <v>40511.592</v>
      </c>
      <c r="H37" s="4">
        <f t="shared" si="5"/>
        <v>2218</v>
      </c>
      <c r="I37" s="33" t="s">
        <v>101</v>
      </c>
      <c r="J37" s="34" t="s">
        <v>102</v>
      </c>
      <c r="K37" s="33">
        <v>2218</v>
      </c>
      <c r="L37" s="33" t="s">
        <v>103</v>
      </c>
      <c r="M37" s="34" t="s">
        <v>72</v>
      </c>
      <c r="N37" s="34"/>
      <c r="O37" s="35" t="s">
        <v>73</v>
      </c>
      <c r="P37" s="35" t="s">
        <v>74</v>
      </c>
    </row>
    <row r="38" spans="1:16" ht="12.75" customHeight="1" thickBot="1">
      <c r="A38" s="4" t="str">
        <f t="shared" si="0"/>
        <v> VSS 9.132 </v>
      </c>
      <c r="B38" s="3" t="str">
        <f t="shared" si="1"/>
        <v>I</v>
      </c>
      <c r="C38" s="4">
        <f t="shared" si="2"/>
        <v>40512.527999999998</v>
      </c>
      <c r="D38" s="7" t="str">
        <f t="shared" si="3"/>
        <v>vis</v>
      </c>
      <c r="E38" s="32">
        <f>VLOOKUP(C38,Active!C$21:E$969,3,FALSE)</f>
        <v>2218.9769634412946</v>
      </c>
      <c r="F38" s="3" t="s">
        <v>66</v>
      </c>
      <c r="G38" s="7" t="str">
        <f t="shared" si="4"/>
        <v>40512.528</v>
      </c>
      <c r="H38" s="4">
        <f t="shared" si="5"/>
        <v>2219</v>
      </c>
      <c r="I38" s="33" t="s">
        <v>104</v>
      </c>
      <c r="J38" s="34" t="s">
        <v>105</v>
      </c>
      <c r="K38" s="33">
        <v>2219</v>
      </c>
      <c r="L38" s="33" t="s">
        <v>106</v>
      </c>
      <c r="M38" s="34" t="s">
        <v>72</v>
      </c>
      <c r="N38" s="34"/>
      <c r="O38" s="35" t="s">
        <v>73</v>
      </c>
      <c r="P38" s="35" t="s">
        <v>74</v>
      </c>
    </row>
    <row r="39" spans="1:16" ht="12.75" customHeight="1" thickBot="1">
      <c r="A39" s="4" t="str">
        <f t="shared" si="0"/>
        <v> VSS 9.132 </v>
      </c>
      <c r="B39" s="3" t="str">
        <f t="shared" si="1"/>
        <v>I</v>
      </c>
      <c r="C39" s="4">
        <f t="shared" si="2"/>
        <v>40513.470999999998</v>
      </c>
      <c r="D39" s="7" t="str">
        <f t="shared" si="3"/>
        <v>vis</v>
      </c>
      <c r="E39" s="32">
        <f>VLOOKUP(C39,Active!C$21:E$969,3,FALSE)</f>
        <v>2219.9709908439836</v>
      </c>
      <c r="F39" s="3" t="s">
        <v>66</v>
      </c>
      <c r="G39" s="7" t="str">
        <f t="shared" si="4"/>
        <v>40513.471</v>
      </c>
      <c r="H39" s="4">
        <f t="shared" si="5"/>
        <v>2220</v>
      </c>
      <c r="I39" s="33" t="s">
        <v>107</v>
      </c>
      <c r="J39" s="34" t="s">
        <v>108</v>
      </c>
      <c r="K39" s="33">
        <v>2220</v>
      </c>
      <c r="L39" s="33" t="s">
        <v>109</v>
      </c>
      <c r="M39" s="34" t="s">
        <v>72</v>
      </c>
      <c r="N39" s="34"/>
      <c r="O39" s="35" t="s">
        <v>73</v>
      </c>
      <c r="P39" s="35" t="s">
        <v>74</v>
      </c>
    </row>
    <row r="40" spans="1:16" ht="12.75" customHeight="1" thickBot="1">
      <c r="A40" s="4" t="str">
        <f t="shared" si="0"/>
        <v> VSS 9.132 </v>
      </c>
      <c r="B40" s="3" t="str">
        <f t="shared" si="1"/>
        <v>I</v>
      </c>
      <c r="C40" s="4">
        <f t="shared" si="2"/>
        <v>40531.500999999997</v>
      </c>
      <c r="D40" s="7" t="str">
        <f t="shared" si="3"/>
        <v>vis</v>
      </c>
      <c r="E40" s="32">
        <f>VLOOKUP(C40,Active!C$21:E$969,3,FALSE)</f>
        <v>2238.9766261255249</v>
      </c>
      <c r="F40" s="3" t="s">
        <v>66</v>
      </c>
      <c r="G40" s="7" t="str">
        <f t="shared" si="4"/>
        <v>40531.501</v>
      </c>
      <c r="H40" s="4">
        <f t="shared" si="5"/>
        <v>2239</v>
      </c>
      <c r="I40" s="33" t="s">
        <v>110</v>
      </c>
      <c r="J40" s="34" t="s">
        <v>111</v>
      </c>
      <c r="K40" s="33">
        <v>2239</v>
      </c>
      <c r="L40" s="33" t="s">
        <v>106</v>
      </c>
      <c r="M40" s="34" t="s">
        <v>72</v>
      </c>
      <c r="N40" s="34"/>
      <c r="O40" s="35" t="s">
        <v>73</v>
      </c>
      <c r="P40" s="35" t="s">
        <v>74</v>
      </c>
    </row>
    <row r="41" spans="1:16" ht="12.75" customHeight="1" thickBot="1">
      <c r="A41" s="4" t="str">
        <f t="shared" si="0"/>
        <v> VSS 9.132 </v>
      </c>
      <c r="B41" s="3" t="str">
        <f t="shared" si="1"/>
        <v>I</v>
      </c>
      <c r="C41" s="4">
        <f t="shared" si="2"/>
        <v>42807.358</v>
      </c>
      <c r="D41" s="7" t="str">
        <f t="shared" si="3"/>
        <v>vis</v>
      </c>
      <c r="E41" s="32">
        <f>VLOOKUP(C41,Active!C$21:E$969,3,FALSE)</f>
        <v>4637.9842853016771</v>
      </c>
      <c r="F41" s="3" t="s">
        <v>66</v>
      </c>
      <c r="G41" s="7" t="str">
        <f t="shared" si="4"/>
        <v>42807.358</v>
      </c>
      <c r="H41" s="4">
        <f t="shared" si="5"/>
        <v>4638</v>
      </c>
      <c r="I41" s="33" t="s">
        <v>112</v>
      </c>
      <c r="J41" s="34" t="s">
        <v>113</v>
      </c>
      <c r="K41" s="33">
        <v>4638</v>
      </c>
      <c r="L41" s="33" t="s">
        <v>71</v>
      </c>
      <c r="M41" s="34" t="s">
        <v>72</v>
      </c>
      <c r="N41" s="34"/>
      <c r="O41" s="35" t="s">
        <v>73</v>
      </c>
      <c r="P41" s="35" t="s">
        <v>74</v>
      </c>
    </row>
    <row r="42" spans="1:16" ht="12.75" customHeight="1" thickBot="1">
      <c r="A42" s="4" t="str">
        <f t="shared" si="0"/>
        <v>BAVM 56 </v>
      </c>
      <c r="B42" s="3" t="str">
        <f t="shared" si="1"/>
        <v>I</v>
      </c>
      <c r="C42" s="4">
        <f t="shared" si="2"/>
        <v>47847.646000000001</v>
      </c>
      <c r="D42" s="7" t="str">
        <f t="shared" si="3"/>
        <v>vis</v>
      </c>
      <c r="E42" s="32">
        <f>VLOOKUP(C42,Active!C$21:E$969,3,FALSE)</f>
        <v>9951.0112094246033</v>
      </c>
      <c r="F42" s="3" t="s">
        <v>66</v>
      </c>
      <c r="G42" s="7" t="str">
        <f t="shared" si="4"/>
        <v>47847.646</v>
      </c>
      <c r="H42" s="4">
        <f t="shared" si="5"/>
        <v>9951</v>
      </c>
      <c r="I42" s="33" t="s">
        <v>114</v>
      </c>
      <c r="J42" s="34" t="s">
        <v>115</v>
      </c>
      <c r="K42" s="33">
        <v>9951</v>
      </c>
      <c r="L42" s="33" t="s">
        <v>116</v>
      </c>
      <c r="M42" s="34" t="s">
        <v>68</v>
      </c>
      <c r="N42" s="34"/>
      <c r="O42" s="35" t="s">
        <v>117</v>
      </c>
      <c r="P42" s="36" t="s">
        <v>118</v>
      </c>
    </row>
    <row r="43" spans="1:16" ht="12.75" customHeight="1" thickBot="1">
      <c r="A43" s="4" t="str">
        <f t="shared" si="0"/>
        <v>BAVM 68 </v>
      </c>
      <c r="B43" s="3" t="str">
        <f t="shared" si="1"/>
        <v>I</v>
      </c>
      <c r="C43" s="4">
        <f t="shared" si="2"/>
        <v>48647.370999999999</v>
      </c>
      <c r="D43" s="7" t="str">
        <f t="shared" si="3"/>
        <v>vis</v>
      </c>
      <c r="E43" s="32">
        <f>VLOOKUP(C43,Active!C$21:E$969,3,FALSE)</f>
        <v>10794.010747723645</v>
      </c>
      <c r="F43" s="3" t="s">
        <v>66</v>
      </c>
      <c r="G43" s="7" t="str">
        <f t="shared" si="4"/>
        <v>48647.371</v>
      </c>
      <c r="H43" s="4">
        <f t="shared" si="5"/>
        <v>10794</v>
      </c>
      <c r="I43" s="33" t="s">
        <v>119</v>
      </c>
      <c r="J43" s="34" t="s">
        <v>120</v>
      </c>
      <c r="K43" s="33">
        <v>10794</v>
      </c>
      <c r="L43" s="33" t="s">
        <v>121</v>
      </c>
      <c r="M43" s="34" t="s">
        <v>68</v>
      </c>
      <c r="N43" s="34"/>
      <c r="O43" s="35" t="s">
        <v>117</v>
      </c>
      <c r="P43" s="36" t="s">
        <v>122</v>
      </c>
    </row>
    <row r="44" spans="1:16" ht="12.75" customHeight="1" thickBot="1">
      <c r="A44" s="4" t="str">
        <f t="shared" si="0"/>
        <v> BBS 127 </v>
      </c>
      <c r="B44" s="3" t="str">
        <f t="shared" si="1"/>
        <v>I</v>
      </c>
      <c r="C44" s="4">
        <f t="shared" si="2"/>
        <v>52253.288200000003</v>
      </c>
      <c r="D44" s="7" t="str">
        <f t="shared" si="3"/>
        <v>vis</v>
      </c>
      <c r="E44" s="32">
        <f>VLOOKUP(C44,Active!C$21:E$969,3,FALSE)</f>
        <v>14595.050523577322</v>
      </c>
      <c r="F44" s="3" t="s">
        <v>66</v>
      </c>
      <c r="G44" s="7" t="str">
        <f t="shared" si="4"/>
        <v>52253.2882</v>
      </c>
      <c r="H44" s="4">
        <f t="shared" si="5"/>
        <v>14595</v>
      </c>
      <c r="I44" s="33" t="s">
        <v>134</v>
      </c>
      <c r="J44" s="34" t="s">
        <v>135</v>
      </c>
      <c r="K44" s="33">
        <v>14595</v>
      </c>
      <c r="L44" s="33" t="s">
        <v>136</v>
      </c>
      <c r="M44" s="34" t="s">
        <v>126</v>
      </c>
      <c r="N44" s="34" t="s">
        <v>137</v>
      </c>
      <c r="O44" s="35" t="s">
        <v>138</v>
      </c>
      <c r="P44" s="35" t="s">
        <v>139</v>
      </c>
    </row>
    <row r="45" spans="1:16" ht="12.75" customHeight="1" thickBot="1">
      <c r="A45" s="4" t="str">
        <f t="shared" si="0"/>
        <v>OEJV 0107 </v>
      </c>
      <c r="B45" s="3" t="str">
        <f t="shared" si="1"/>
        <v>I</v>
      </c>
      <c r="C45" s="4">
        <f t="shared" si="2"/>
        <v>53751.248599999999</v>
      </c>
      <c r="D45" s="7" t="str">
        <f t="shared" si="3"/>
        <v>vis</v>
      </c>
      <c r="E45" s="32" t="e">
        <f>VLOOKUP(C45,Active!C$21:E$969,3,FALSE)</f>
        <v>#N/A</v>
      </c>
      <c r="F45" s="3" t="s">
        <v>66</v>
      </c>
      <c r="G45" s="7" t="str">
        <f t="shared" si="4"/>
        <v>53751.2486</v>
      </c>
      <c r="H45" s="4">
        <f t="shared" si="5"/>
        <v>16174</v>
      </c>
      <c r="I45" s="33" t="s">
        <v>169</v>
      </c>
      <c r="J45" s="34" t="s">
        <v>170</v>
      </c>
      <c r="K45" s="33" t="s">
        <v>171</v>
      </c>
      <c r="L45" s="33" t="s">
        <v>172</v>
      </c>
      <c r="M45" s="34" t="s">
        <v>166</v>
      </c>
      <c r="N45" s="34" t="s">
        <v>173</v>
      </c>
      <c r="O45" s="35" t="s">
        <v>174</v>
      </c>
      <c r="P45" s="36" t="s">
        <v>175</v>
      </c>
    </row>
    <row r="46" spans="1:16" ht="12.75" customHeight="1" thickBot="1">
      <c r="A46" s="4" t="str">
        <f t="shared" si="0"/>
        <v>OEJV 0107 </v>
      </c>
      <c r="B46" s="3" t="str">
        <f t="shared" si="1"/>
        <v>I</v>
      </c>
      <c r="C46" s="4">
        <f t="shared" si="2"/>
        <v>53987.467400000001</v>
      </c>
      <c r="D46" s="7" t="str">
        <f t="shared" si="3"/>
        <v>vis</v>
      </c>
      <c r="E46" s="32" t="e">
        <f>VLOOKUP(C46,Active!C$21:E$969,3,FALSE)</f>
        <v>#N/A</v>
      </c>
      <c r="F46" s="3" t="s">
        <v>66</v>
      </c>
      <c r="G46" s="7" t="str">
        <f t="shared" si="4"/>
        <v>53987.4674</v>
      </c>
      <c r="H46" s="4">
        <f t="shared" si="5"/>
        <v>16423</v>
      </c>
      <c r="I46" s="33" t="s">
        <v>176</v>
      </c>
      <c r="J46" s="34" t="s">
        <v>177</v>
      </c>
      <c r="K46" s="33" t="s">
        <v>178</v>
      </c>
      <c r="L46" s="33" t="s">
        <v>179</v>
      </c>
      <c r="M46" s="34" t="s">
        <v>166</v>
      </c>
      <c r="N46" s="34" t="s">
        <v>173</v>
      </c>
      <c r="O46" s="35" t="s">
        <v>174</v>
      </c>
      <c r="P46" s="36" t="s">
        <v>175</v>
      </c>
    </row>
    <row r="47" spans="1:16" ht="12.75" customHeight="1" thickBot="1">
      <c r="A47" s="4" t="str">
        <f t="shared" si="0"/>
        <v>OEJV 0107 </v>
      </c>
      <c r="B47" s="3" t="str">
        <f t="shared" si="1"/>
        <v>I</v>
      </c>
      <c r="C47" s="4">
        <f t="shared" si="2"/>
        <v>54318.560599999997</v>
      </c>
      <c r="D47" s="7" t="str">
        <f t="shared" si="3"/>
        <v>vis</v>
      </c>
      <c r="E47" s="32" t="e">
        <f>VLOOKUP(C47,Active!C$21:E$969,3,FALSE)</f>
        <v>#N/A</v>
      </c>
      <c r="F47" s="3" t="s">
        <v>66</v>
      </c>
      <c r="G47" s="7" t="str">
        <f t="shared" si="4"/>
        <v>54318.5606</v>
      </c>
      <c r="H47" s="4">
        <f t="shared" si="5"/>
        <v>16772</v>
      </c>
      <c r="I47" s="33" t="s">
        <v>180</v>
      </c>
      <c r="J47" s="34" t="s">
        <v>181</v>
      </c>
      <c r="K47" s="33" t="s">
        <v>182</v>
      </c>
      <c r="L47" s="33" t="s">
        <v>183</v>
      </c>
      <c r="M47" s="34" t="s">
        <v>166</v>
      </c>
      <c r="N47" s="34" t="s">
        <v>173</v>
      </c>
      <c r="O47" s="35" t="s">
        <v>174</v>
      </c>
      <c r="P47" s="36" t="s">
        <v>175</v>
      </c>
    </row>
    <row r="48" spans="1:16" ht="12.75" customHeight="1" thickBot="1">
      <c r="A48" s="4" t="str">
        <f t="shared" si="0"/>
        <v>BAVM 212 </v>
      </c>
      <c r="B48" s="3" t="str">
        <f t="shared" si="1"/>
        <v>I</v>
      </c>
      <c r="C48" s="4">
        <f t="shared" si="2"/>
        <v>55075.607300000003</v>
      </c>
      <c r="D48" s="7" t="str">
        <f t="shared" si="3"/>
        <v>vis</v>
      </c>
      <c r="E48" s="32">
        <f>VLOOKUP(C48,Active!C$21:E$969,3,FALSE)</f>
        <v>17570.090316296784</v>
      </c>
      <c r="F48" s="3" t="s">
        <v>66</v>
      </c>
      <c r="G48" s="7" t="str">
        <f t="shared" si="4"/>
        <v>55075.6073</v>
      </c>
      <c r="H48" s="4">
        <f t="shared" si="5"/>
        <v>17570</v>
      </c>
      <c r="I48" s="33" t="s">
        <v>194</v>
      </c>
      <c r="J48" s="34" t="s">
        <v>195</v>
      </c>
      <c r="K48" s="33" t="s">
        <v>196</v>
      </c>
      <c r="L48" s="33" t="s">
        <v>197</v>
      </c>
      <c r="M48" s="34" t="s">
        <v>166</v>
      </c>
      <c r="N48" s="34" t="s">
        <v>127</v>
      </c>
      <c r="O48" s="35" t="s">
        <v>154</v>
      </c>
      <c r="P48" s="36" t="s">
        <v>198</v>
      </c>
    </row>
    <row r="49" spans="1:16" ht="12.75" customHeight="1" thickBot="1">
      <c r="A49" s="4" t="str">
        <f t="shared" si="0"/>
        <v>BAVM 212 </v>
      </c>
      <c r="B49" s="3" t="str">
        <f t="shared" si="1"/>
        <v>I</v>
      </c>
      <c r="C49" s="4">
        <f t="shared" si="2"/>
        <v>55155.297500000001</v>
      </c>
      <c r="D49" s="7" t="str">
        <f t="shared" si="3"/>
        <v>vis</v>
      </c>
      <c r="E49" s="32">
        <f>VLOOKUP(C49,Active!C$21:E$969,3,FALSE)</f>
        <v>17654.092694372943</v>
      </c>
      <c r="F49" s="3" t="s">
        <v>66</v>
      </c>
      <c r="G49" s="7" t="str">
        <f t="shared" si="4"/>
        <v>55155.2975</v>
      </c>
      <c r="H49" s="4">
        <f t="shared" si="5"/>
        <v>17654</v>
      </c>
      <c r="I49" s="33" t="s">
        <v>199</v>
      </c>
      <c r="J49" s="34" t="s">
        <v>200</v>
      </c>
      <c r="K49" s="33" t="s">
        <v>201</v>
      </c>
      <c r="L49" s="33" t="s">
        <v>202</v>
      </c>
      <c r="M49" s="34" t="s">
        <v>166</v>
      </c>
      <c r="N49" s="34" t="s">
        <v>148</v>
      </c>
      <c r="O49" s="35" t="s">
        <v>188</v>
      </c>
      <c r="P49" s="36" t="s">
        <v>198</v>
      </c>
    </row>
    <row r="50" spans="1:16" ht="12.75" customHeight="1" thickBot="1">
      <c r="A50" s="4" t="str">
        <f t="shared" si="0"/>
        <v>OEJV 0137 </v>
      </c>
      <c r="B50" s="3" t="str">
        <f t="shared" si="1"/>
        <v>I</v>
      </c>
      <c r="C50" s="4">
        <f t="shared" si="2"/>
        <v>55156.246599999999</v>
      </c>
      <c r="D50" s="7" t="str">
        <f t="shared" si="3"/>
        <v>vis</v>
      </c>
      <c r="E50" s="32" t="e">
        <f>VLOOKUP(C50,Active!C$21:E$969,3,FALSE)</f>
        <v>#N/A</v>
      </c>
      <c r="F50" s="3" t="s">
        <v>66</v>
      </c>
      <c r="G50" s="7" t="str">
        <f t="shared" si="4"/>
        <v>55156.2466</v>
      </c>
      <c r="H50" s="4">
        <f t="shared" si="5"/>
        <v>17655</v>
      </c>
      <c r="I50" s="33" t="s">
        <v>203</v>
      </c>
      <c r="J50" s="34" t="s">
        <v>204</v>
      </c>
      <c r="K50" s="33" t="s">
        <v>205</v>
      </c>
      <c r="L50" s="33" t="s">
        <v>206</v>
      </c>
      <c r="M50" s="34" t="s">
        <v>166</v>
      </c>
      <c r="N50" s="34" t="s">
        <v>173</v>
      </c>
      <c r="O50" s="35" t="s">
        <v>174</v>
      </c>
      <c r="P50" s="36" t="s">
        <v>207</v>
      </c>
    </row>
    <row r="51" spans="1:16" ht="12.75" customHeight="1" thickBot="1">
      <c r="A51" s="4" t="str">
        <f t="shared" si="0"/>
        <v>BAVM 225 </v>
      </c>
      <c r="B51" s="3" t="str">
        <f t="shared" si="1"/>
        <v>I</v>
      </c>
      <c r="C51" s="4">
        <f t="shared" si="2"/>
        <v>55894.32</v>
      </c>
      <c r="D51" s="7" t="str">
        <f t="shared" si="3"/>
        <v>vis</v>
      </c>
      <c r="E51" s="32">
        <f>VLOOKUP(C51,Active!C$21:E$969,3,FALSE)</f>
        <v>18433.105012723128</v>
      </c>
      <c r="F51" s="3" t="s">
        <v>66</v>
      </c>
      <c r="G51" s="7" t="str">
        <f t="shared" si="4"/>
        <v>55894.3200</v>
      </c>
      <c r="H51" s="4">
        <f t="shared" si="5"/>
        <v>18433</v>
      </c>
      <c r="I51" s="33" t="s">
        <v>236</v>
      </c>
      <c r="J51" s="34" t="s">
        <v>237</v>
      </c>
      <c r="K51" s="33" t="s">
        <v>238</v>
      </c>
      <c r="L51" s="33" t="s">
        <v>239</v>
      </c>
      <c r="M51" s="34" t="s">
        <v>166</v>
      </c>
      <c r="N51" s="34">
        <v>0</v>
      </c>
      <c r="O51" s="35" t="s">
        <v>188</v>
      </c>
      <c r="P51" s="36" t="s">
        <v>240</v>
      </c>
    </row>
    <row r="52" spans="1:16">
      <c r="B52" s="3"/>
      <c r="F52" s="3"/>
    </row>
    <row r="53" spans="1:16">
      <c r="B53" s="3"/>
      <c r="F53" s="3"/>
    </row>
    <row r="54" spans="1:16">
      <c r="B54" s="3"/>
      <c r="F54" s="3"/>
    </row>
    <row r="55" spans="1:16">
      <c r="B55" s="3"/>
      <c r="F55" s="3"/>
    </row>
    <row r="56" spans="1:16">
      <c r="B56" s="3"/>
      <c r="F56" s="3"/>
    </row>
    <row r="57" spans="1:16">
      <c r="B57" s="3"/>
      <c r="F57" s="3"/>
    </row>
    <row r="58" spans="1:16">
      <c r="B58" s="3"/>
      <c r="F58" s="3"/>
    </row>
    <row r="59" spans="1:16">
      <c r="B59" s="3"/>
      <c r="F59" s="3"/>
    </row>
    <row r="60" spans="1:16">
      <c r="B60" s="3"/>
      <c r="F60" s="3"/>
    </row>
    <row r="61" spans="1:16">
      <c r="B61" s="3"/>
      <c r="F61" s="3"/>
    </row>
    <row r="62" spans="1:16">
      <c r="B62" s="3"/>
      <c r="F62" s="3"/>
    </row>
    <row r="63" spans="1:16">
      <c r="B63" s="3"/>
      <c r="F63" s="3"/>
    </row>
    <row r="64" spans="1:1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</sheetData>
  <phoneticPr fontId="7" type="noConversion"/>
  <hyperlinks>
    <hyperlink ref="P42" r:id="rId1" display="http://www.bav-astro.de/sfs/BAVM_link.php?BAVMnr=56"/>
    <hyperlink ref="P43" r:id="rId2" display="http://www.bav-astro.de/sfs/BAVM_link.php?BAVMnr=68"/>
    <hyperlink ref="P11" r:id="rId3" display="http://www.bav-astro.de/sfs/BAVM_link.php?BAVMnr=91"/>
    <hyperlink ref="P12" r:id="rId4" display="http://www.bav-astro.de/sfs/BAVM_link.php?BAVMnr=172"/>
    <hyperlink ref="P13" r:id="rId5" display="http://www.konkoly.hu/cgi-bin/IBVS?5378"/>
    <hyperlink ref="P14" r:id="rId6" display="http://www.bav-astro.de/sfs/BAVM_link.php?BAVMnr=172"/>
    <hyperlink ref="P15" r:id="rId7" display="http://www.bav-astro.de/sfs/BAVM_link.php?BAVMnr=173"/>
    <hyperlink ref="P16" r:id="rId8" display="http://www.konkoly.hu/cgi-bin/IBVS?5653"/>
    <hyperlink ref="P17" r:id="rId9" display="http://www.bav-astro.de/sfs/BAVM_link.php?BAVMnr=178"/>
    <hyperlink ref="P45" r:id="rId10" display="http://var.astro.cz/oejv/issues/oejv0107.pdf"/>
    <hyperlink ref="P46" r:id="rId11" display="http://var.astro.cz/oejv/issues/oejv0107.pdf"/>
    <hyperlink ref="P47" r:id="rId12" display="http://var.astro.cz/oejv/issues/oejv0107.pdf"/>
    <hyperlink ref="P18" r:id="rId13" display="http://www.bav-astro.de/sfs/BAVM_link.php?BAVMnr=209"/>
    <hyperlink ref="P19" r:id="rId14" display="http://www.bav-astro.de/sfs/BAVM_link.php?BAVMnr=209"/>
    <hyperlink ref="P48" r:id="rId15" display="http://www.bav-astro.de/sfs/BAVM_link.php?BAVMnr=212"/>
    <hyperlink ref="P49" r:id="rId16" display="http://www.bav-astro.de/sfs/BAVM_link.php?BAVMnr=212"/>
    <hyperlink ref="P50" r:id="rId17" display="http://var.astro.cz/oejv/issues/oejv0137.pdf"/>
    <hyperlink ref="P20" r:id="rId18" display="http://www.bav-astro.de/sfs/BAVM_link.php?BAVMnr=220"/>
    <hyperlink ref="P21" r:id="rId19" display="http://var.astro.cz/oejv/issues/oejv0137.pdf"/>
    <hyperlink ref="P22" r:id="rId20" display="http://www.konkoly.hu/cgi-bin/IBVS?6011"/>
    <hyperlink ref="P23" r:id="rId21" display="http://var.astro.cz/oejv/issues/oejv0160.pdf"/>
    <hyperlink ref="P24" r:id="rId22" display="http://var.astro.cz/oejv/issues/oejv0160.pdf"/>
    <hyperlink ref="P25" r:id="rId23" display="http://var.astro.cz/oejv/issues/oejv0160.pdf"/>
    <hyperlink ref="P51" r:id="rId24" display="http://www.bav-astro.de/sfs/BAVM_link.php?BAVMnr=225"/>
    <hyperlink ref="P26" r:id="rId25" display="http://www.konkoly.hu/cgi-bin/IBVS?6042"/>
    <hyperlink ref="P27" r:id="rId26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2024-03-03T06:10:39Z</dcterms:modified>
</cp:coreProperties>
</file>