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3AD438C-CDB8-4D2E-97CF-7099DF50E5D6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E23" i="1"/>
  <c r="F23" i="1"/>
  <c r="G23" i="1"/>
  <c r="S23" i="1"/>
  <c r="E24" i="1"/>
  <c r="F24" i="1"/>
  <c r="G24" i="1"/>
  <c r="E25" i="1"/>
  <c r="F25" i="1"/>
  <c r="G25" i="1"/>
  <c r="S25" i="1"/>
  <c r="Q22" i="1"/>
  <c r="Q23" i="1"/>
  <c r="Q24" i="1"/>
  <c r="Q25" i="1"/>
  <c r="C21" i="1"/>
  <c r="G21" i="1"/>
  <c r="C13" i="1"/>
  <c r="E21" i="1"/>
  <c r="F21" i="1"/>
  <c r="F12" i="1"/>
  <c r="F13" i="1" s="1"/>
  <c r="D14" i="1"/>
  <c r="D13" i="1"/>
  <c r="C14" i="1"/>
  <c r="C17" i="1"/>
  <c r="Q21" i="1"/>
  <c r="I22" i="1"/>
  <c r="R22" i="1"/>
  <c r="H21" i="1"/>
  <c r="R21" i="1"/>
  <c r="R24" i="1"/>
  <c r="I24" i="1"/>
  <c r="S19" i="1"/>
  <c r="E19" i="1"/>
  <c r="I25" i="1"/>
  <c r="I23" i="1"/>
  <c r="R19" i="1"/>
  <c r="E18" i="1"/>
  <c r="D12" i="1"/>
  <c r="D11" i="1"/>
  <c r="C11" i="1"/>
  <c r="P24" i="1" l="1"/>
  <c r="P22" i="1"/>
  <c r="P21" i="1"/>
  <c r="P23" i="1"/>
  <c r="P25" i="1"/>
  <c r="D15" i="1"/>
  <c r="C19" i="1" s="1"/>
  <c r="D16" i="1"/>
  <c r="D19" i="1" s="1"/>
  <c r="C12" i="1"/>
  <c r="C16" i="1" l="1"/>
  <c r="D18" i="1" s="1"/>
  <c r="C15" i="1"/>
  <c r="O22" i="1"/>
  <c r="O21" i="1"/>
  <c r="O24" i="1"/>
  <c r="O25" i="1"/>
  <c r="O23" i="1"/>
  <c r="C18" i="1" l="1"/>
  <c r="F14" i="1"/>
  <c r="F15" i="1" s="1"/>
</calcChain>
</file>

<file path=xl/sharedStrings.xml><?xml version="1.0" encoding="utf-8"?>
<sst xmlns="http://schemas.openxmlformats.org/spreadsheetml/2006/main" count="61" uniqueCount="52">
  <si>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</si>
  <si>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</si>
  <si>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</si>
  <si>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</si>
  <si>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</si>
  <si>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</si>
  <si>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</si>
  <si>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</si>
  <si>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</si>
  <si>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</si>
  <si>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</si>
  <si>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</si>
  <si>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</si>
  <si>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</si>
  <si>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</si>
  <si>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</si>
  <si>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</si>
  <si>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</si>
  <si>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</si>
  <si>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</si>
  <si>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</si>
  <si>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</si>
  <si>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</si>
  <si>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</si>
  <si>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</si>
  <si>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</si>
  <si>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S4</t>
  </si>
  <si>
    <t>S5</t>
  </si>
  <si>
    <t>na</t>
  </si>
  <si>
    <t># of data points =</t>
  </si>
  <si>
    <t>Start of Lin fit (row)</t>
  </si>
  <si>
    <t>Start cell (x)</t>
  </si>
  <si>
    <t>Start cell (y)</t>
  </si>
  <si>
    <t>S3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</si>
  <si>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</si>
  <si>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</si>
  <si>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</si>
  <si>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</si>
  <si>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</si>
  <si>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</si>
  <si>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</si>
  <si>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</si>
  <si>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EA</t>
  </si>
  <si>
    <t>VSX</t>
  </si>
  <si>
    <t>not avail.</t>
  </si>
  <si>
    <t>Cas</t>
  </si>
  <si>
    <t>IBVS 6011</t>
  </si>
  <si>
    <t>I</t>
  </si>
  <si>
    <t>II</t>
  </si>
  <si>
    <t>IBVS 6042</t>
  </si>
  <si>
    <t>V0966 Per / GSC 3671-0099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</si>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</sst>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4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11" fillId="0" borderId="0" xfId="0" applyFont="1" applyAlignment="1">
      <alignment horizontal="center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V0966</a:t>
            </a:r>
            <a:r>
              <a:rPr lang="en-AU" baseline="0"/>
              <a:t> Per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29032258064516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9354838709677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397</c:v>
                </c:pt>
                <c:pt idx="2">
                  <c:v>398.5</c:v>
                </c:pt>
                <c:pt idx="3">
                  <c:v>487</c:v>
                </c:pt>
                <c:pt idx="4">
                  <c:v>492.5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7B-4409-9916-7E2B1B3E3D0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397</c:v>
                </c:pt>
                <c:pt idx="2">
                  <c:v>398.5</c:v>
                </c:pt>
                <c:pt idx="3">
                  <c:v>487</c:v>
                </c:pt>
                <c:pt idx="4">
                  <c:v>492.5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">
                  <c:v>1.2500000011641532E-3</c:v>
                </c:pt>
                <c:pt idx="2">
                  <c:v>-0.71482499999547144</c:v>
                </c:pt>
                <c:pt idx="3">
                  <c:v>2.6500000021769665E-3</c:v>
                </c:pt>
                <c:pt idx="4">
                  <c:v>-0.70322499999747379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7B-4409-9916-7E2B1B3E3D0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397</c:v>
                </c:pt>
                <c:pt idx="2">
                  <c:v>398.5</c:v>
                </c:pt>
                <c:pt idx="3">
                  <c:v>487</c:v>
                </c:pt>
                <c:pt idx="4">
                  <c:v>492.5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7B-4409-9916-7E2B1B3E3D0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397</c:v>
                </c:pt>
                <c:pt idx="2">
                  <c:v>398.5</c:v>
                </c:pt>
                <c:pt idx="3">
                  <c:v>487</c:v>
                </c:pt>
                <c:pt idx="4">
                  <c:v>492.5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7B-4409-9916-7E2B1B3E3D0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397</c:v>
                </c:pt>
                <c:pt idx="2">
                  <c:v>398.5</c:v>
                </c:pt>
                <c:pt idx="3">
                  <c:v>487</c:v>
                </c:pt>
                <c:pt idx="4">
                  <c:v>492.5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7B-4409-9916-7E2B1B3E3D0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397</c:v>
                </c:pt>
                <c:pt idx="2">
                  <c:v>398.5</c:v>
                </c:pt>
                <c:pt idx="3">
                  <c:v>487</c:v>
                </c:pt>
                <c:pt idx="4">
                  <c:v>492.5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7B-4409-9916-7E2B1B3E3D0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397</c:v>
                </c:pt>
                <c:pt idx="2">
                  <c:v>398.5</c:v>
                </c:pt>
                <c:pt idx="3">
                  <c:v>487</c:v>
                </c:pt>
                <c:pt idx="4">
                  <c:v>492.5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7B-4409-9916-7E2B1B3E3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931864"/>
        <c:axId val="1"/>
      </c:scatterChart>
      <c:valAx>
        <c:axId val="785931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322580645161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931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129032258064514"/>
          <c:y val="0.92097264437689974"/>
          <c:w val="0.3774193548387097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V0966 Per - Prim. O-C Diagr.</a:t>
            </a:r>
          </a:p>
        </c:rich>
      </c:tx>
      <c:layout>
        <c:manualLayout>
          <c:xMode val="edge"/>
          <c:yMode val="edge"/>
          <c:x val="0.2349274531951697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7338955848569724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397</c:v>
                </c:pt>
                <c:pt idx="2">
                  <c:v>398.5</c:v>
                </c:pt>
                <c:pt idx="3">
                  <c:v>487</c:v>
                </c:pt>
                <c:pt idx="4">
                  <c:v>492.5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1">
                  <c:v>1.2500000011641532E-3</c:v>
                </c:pt>
                <c:pt idx="3">
                  <c:v>2.6500000021769665E-3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6F-4FB6-82A6-B27F55CE4CDC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397</c:v>
                </c:pt>
                <c:pt idx="2">
                  <c:v>398.5</c:v>
                </c:pt>
                <c:pt idx="3">
                  <c:v>487</c:v>
                </c:pt>
                <c:pt idx="4">
                  <c:v>492.5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-9.9029979365361856E-5</c:v>
                </c:pt>
                <c:pt idx="1">
                  <c:v>1.7858622228411655E-3</c:v>
                </c:pt>
                <c:pt idx="2">
                  <c:v>1.7929839817915681E-3</c:v>
                </c:pt>
                <c:pt idx="3">
                  <c:v>2.2131677598653155E-3</c:v>
                </c:pt>
                <c:pt idx="4">
                  <c:v>2.2392808760167914E-3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6F-4FB6-82A6-B27F55CE4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261168"/>
        <c:axId val="1"/>
      </c:scatterChart>
      <c:valAx>
        <c:axId val="789261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2249687604018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261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164284817828123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V0966 Per - Sec. O-C Diagr.</a:t>
            </a:r>
          </a:p>
        </c:rich>
      </c:tx>
      <c:layout>
        <c:manualLayout>
          <c:xMode val="edge"/>
          <c:yMode val="edge"/>
          <c:x val="0.24849205170108454"/>
          <c:y val="3.3434775636968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7755179523257656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397</c:v>
                </c:pt>
                <c:pt idx="2">
                  <c:v>398.5</c:v>
                </c:pt>
                <c:pt idx="3">
                  <c:v>487</c:v>
                </c:pt>
                <c:pt idx="4">
                  <c:v>492.5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2">
                  <c:v>-0.71482499999547144</c:v>
                </c:pt>
                <c:pt idx="4">
                  <c:v>-0.70322499999747379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FC-45E7-BF16-883300618D14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397</c:v>
                </c:pt>
                <c:pt idx="2">
                  <c:v>398.5</c:v>
                </c:pt>
                <c:pt idx="3">
                  <c:v>487</c:v>
                </c:pt>
                <c:pt idx="4">
                  <c:v>492.5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-0.7640015957316636</c:v>
                </c:pt>
                <c:pt idx="1">
                  <c:v>-0.71501010637841822</c:v>
                </c:pt>
                <c:pt idx="2">
                  <c:v>-0.71482499999547144</c:v>
                </c:pt>
                <c:pt idx="3">
                  <c:v>-0.70390372340161189</c:v>
                </c:pt>
                <c:pt idx="4">
                  <c:v>-0.70322499999747379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FC-45E7-BF16-883300618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899592"/>
        <c:axId val="1"/>
      </c:scatterChart>
      <c:valAx>
        <c:axId val="730899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6126734158229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899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87797953827197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19</xdr:col>
      <xdr:colOff>57150</xdr:colOff>
      <xdr:row>18</xdr:row>
      <xdr:rowOff>95250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9B5956A1-CEDA-283F-7D7E-E949BA703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457200</xdr:colOff>
      <xdr:row>21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0B08C6-CED4-FC23-D1F5-472B2B62DF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9525</xdr:rowOff>
    </xdr:from>
    <xdr:to>
      <xdr:col>11</xdr:col>
      <xdr:colOff>438150</xdr:colOff>
      <xdr:row>41</xdr:row>
      <xdr:rowOff>57150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53E7586-413A-CB6A-8BAD-A6E8840C71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5.8554687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3" t="s">
        <v>50</v>
      </c>
    </row>
    <row r="2" spans="1:6" ht="12.95" customHeight="1" x14ac:dyDescent="0.2">
      <c r="A2" t="s">
        <v>17</v>
      </c>
      <c r="B2" t="s">
        <v>42</v>
      </c>
      <c r="E2" s="13" t="s">
        <v>45</v>
      </c>
    </row>
    <row r="3" spans="1:6" ht="12.95" customHeight="1" thickBot="1" x14ac:dyDescent="0.25">
      <c r="C3" s="9"/>
    </row>
    <row r="4" spans="1:6" ht="12.95" customHeight="1" thickTop="1" thickBot="1" x14ac:dyDescent="0.25">
      <c r="A4" s="5" t="s">
        <v>0</v>
      </c>
      <c r="C4" s="36" t="s">
        <v>44</v>
      </c>
      <c r="D4" s="37" t="s">
        <v>44</v>
      </c>
    </row>
    <row r="5" spans="1:6" ht="12.95" customHeight="1" thickTop="1" x14ac:dyDescent="0.2">
      <c r="A5" s="29" t="s">
        <v>34</v>
      </c>
      <c r="B5" s="23"/>
      <c r="C5" s="30">
        <v>-9.5</v>
      </c>
      <c r="D5" s="23" t="s">
        <v>35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>
        <v>54158.300999999999</v>
      </c>
      <c r="D7" s="20" t="s">
        <v>43</v>
      </c>
    </row>
    <row r="8" spans="1:6" ht="12.95" customHeight="1" x14ac:dyDescent="0.2">
      <c r="A8" t="s">
        <v>3</v>
      </c>
      <c r="C8">
        <v>4.3088499999999996</v>
      </c>
      <c r="D8" s="20" t="s">
        <v>43</v>
      </c>
    </row>
    <row r="9" spans="1:6" ht="12.95" customHeight="1" x14ac:dyDescent="0.2">
      <c r="A9" s="21" t="s">
        <v>30</v>
      </c>
      <c r="B9" s="21"/>
      <c r="C9" s="22">
        <v>21</v>
      </c>
      <c r="D9" s="22">
        <v>21</v>
      </c>
    </row>
    <row r="10" spans="1:6" ht="12.95" customHeight="1" thickBot="1" x14ac:dyDescent="0.25">
      <c r="A10" s="23"/>
      <c r="B10" s="23"/>
      <c r="C10" s="4" t="s">
        <v>19</v>
      </c>
      <c r="D10" s="4" t="s">
        <v>20</v>
      </c>
    </row>
    <row r="11" spans="1:6" ht="12.95" customHeight="1" x14ac:dyDescent="0.2">
      <c r="A11" s="23" t="s">
        <v>14</v>
      </c>
      <c r="B11" s="23"/>
      <c r="C11" s="24">
        <f ca="1">INTERCEPT(INDIRECT(C14):R$935,INDIRECT(C13):$F$935)</f>
        <v>-9.9029979365361856E-5</v>
      </c>
      <c r="D11" s="24">
        <f ca="1">INTERCEPT(INDIRECT(D14):S$935,INDIRECT(D13):$F$935)</f>
        <v>-0.7640015957316636</v>
      </c>
      <c r="E11" s="21" t="s">
        <v>37</v>
      </c>
      <c r="F11">
        <v>1</v>
      </c>
    </row>
    <row r="12" spans="1:6" ht="12.95" customHeight="1" x14ac:dyDescent="0.2">
      <c r="A12" s="23" t="s">
        <v>15</v>
      </c>
      <c r="B12" s="23"/>
      <c r="C12" s="24">
        <f ca="1">SLOPE(INDIRECT(C14):R$935,INDIRECT(C13):$F$935)</f>
        <v>4.7478393002683311E-6</v>
      </c>
      <c r="D12" s="24">
        <f ca="1">SLOPE(INDIRECT(D14):S$935,INDIRECT(D13):$F$935)</f>
        <v>1.234042552978474E-4</v>
      </c>
      <c r="E12" s="21" t="s">
        <v>38</v>
      </c>
      <c r="F12" s="31">
        <f ca="1">NOW()+15018.5+$C$5/24</f>
        <v>60372.836406365735</v>
      </c>
    </row>
    <row r="13" spans="1:6" ht="12.95" customHeight="1" x14ac:dyDescent="0.2">
      <c r="A13" s="21" t="s">
        <v>31</v>
      </c>
      <c r="B13" s="21"/>
      <c r="C13" s="22" t="str">
        <f>"F"&amp;C9</f>
        <v>F21</v>
      </c>
      <c r="D13" s="22" t="str">
        <f>"F"&amp;D9</f>
        <v>F21</v>
      </c>
      <c r="E13" s="21" t="s">
        <v>39</v>
      </c>
      <c r="F13" s="31">
        <f ca="1">ROUND(2*(F12-$C$7)/$C$8,0)/2+F11</f>
        <v>1443.5</v>
      </c>
    </row>
    <row r="14" spans="1:6" ht="12.95" customHeight="1" x14ac:dyDescent="0.2">
      <c r="A14" s="21" t="s">
        <v>32</v>
      </c>
      <c r="B14" s="21"/>
      <c r="C14" s="22" t="str">
        <f>"R"&amp;C9</f>
        <v>R21</v>
      </c>
      <c r="D14" s="22" t="str">
        <f>"S"&amp;D9</f>
        <v>S21</v>
      </c>
      <c r="E14" s="21" t="s">
        <v>40</v>
      </c>
      <c r="F14" s="32">
        <f ca="1">ROUND(2*(F12-$C$15)/$C$16,0)/2+F11</f>
        <v>951.5</v>
      </c>
    </row>
    <row r="15" spans="1:6" ht="12.95" customHeight="1" x14ac:dyDescent="0.2">
      <c r="A15" s="25" t="s">
        <v>16</v>
      </c>
      <c r="B15" s="23"/>
      <c r="C15" s="26">
        <f ca="1">($C7+C11)+($C8+C12)*INT(MAX($F21:$F3533))</f>
        <v>56278.257436906955</v>
      </c>
      <c r="D15" s="26">
        <f ca="1">($C7+D11)+($C8+D12)*INT(MAX($F21:$F3533))</f>
        <v>56277.551913297873</v>
      </c>
      <c r="E15" s="21" t="s">
        <v>41</v>
      </c>
      <c r="F15" s="33">
        <f ca="1">+$C$15+$C$16*F14-15018.5-$C$5/24</f>
        <v>45360.028562809384</v>
      </c>
    </row>
    <row r="16" spans="1:6" ht="12.95" customHeight="1" x14ac:dyDescent="0.2">
      <c r="A16" s="27" t="s">
        <v>4</v>
      </c>
      <c r="B16" s="23"/>
      <c r="C16" s="28">
        <f ca="1">+$C8+C12</f>
        <v>4.3088547478393</v>
      </c>
      <c r="D16" s="24">
        <f ca="1">+$C8+D12</f>
        <v>4.3089734042552976</v>
      </c>
      <c r="E16" s="34"/>
      <c r="F16" s="34" t="s">
        <v>36</v>
      </c>
    </row>
    <row r="17" spans="1:19" ht="12.95" customHeight="1" thickBot="1" x14ac:dyDescent="0.25">
      <c r="A17" s="20" t="s">
        <v>29</v>
      </c>
      <c r="C17">
        <f>COUNT(C21:C1247)</f>
        <v>5</v>
      </c>
    </row>
    <row r="18" spans="1:19" ht="12.95" customHeight="1" thickTop="1" thickBot="1" x14ac:dyDescent="0.25">
      <c r="A18" s="5" t="s">
        <v>22</v>
      </c>
      <c r="C18" s="2">
        <f ca="1">+C15</f>
        <v>56278.257436906955</v>
      </c>
      <c r="D18" s="3">
        <f ca="1">+C16</f>
        <v>4.3088547478393</v>
      </c>
      <c r="E18" s="35">
        <f>R19</f>
        <v>3</v>
      </c>
    </row>
    <row r="19" spans="1:19" ht="12.95" customHeight="1" thickTop="1" thickBot="1" x14ac:dyDescent="0.25">
      <c r="A19" s="5" t="s">
        <v>23</v>
      </c>
      <c r="C19" s="2">
        <f ca="1">+D15</f>
        <v>56277.551913297873</v>
      </c>
      <c r="D19" s="3">
        <f ca="1">+D16</f>
        <v>4.3089734042552976</v>
      </c>
      <c r="E19" s="35">
        <f>S19</f>
        <v>2</v>
      </c>
      <c r="R19">
        <f>COUNT(R21:R322)</f>
        <v>3</v>
      </c>
      <c r="S19">
        <f>COUNT(S21:S322)</f>
        <v>2</v>
      </c>
    </row>
    <row r="20" spans="1:19" ht="12.95" customHeight="1" thickTop="1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11</v>
      </c>
      <c r="I20" s="7" t="s">
        <v>51</v>
      </c>
      <c r="J20" s="7" t="s">
        <v>33</v>
      </c>
      <c r="K20" s="7" t="s">
        <v>26</v>
      </c>
      <c r="L20" s="7" t="s">
        <v>27</v>
      </c>
      <c r="M20" s="7" t="s">
        <v>18</v>
      </c>
      <c r="N20" s="7" t="s">
        <v>21</v>
      </c>
      <c r="O20" s="7" t="s">
        <v>24</v>
      </c>
      <c r="P20" s="6" t="s">
        <v>25</v>
      </c>
      <c r="Q20" s="4" t="s">
        <v>13</v>
      </c>
      <c r="R20" s="8" t="s">
        <v>19</v>
      </c>
      <c r="S20" s="8" t="s">
        <v>20</v>
      </c>
    </row>
    <row r="21" spans="1:19" ht="12.95" customHeight="1" x14ac:dyDescent="0.2">
      <c r="A21" t="s">
        <v>43</v>
      </c>
      <c r="C21" s="14">
        <f>+C7</f>
        <v>54158.300999999999</v>
      </c>
      <c r="D21" s="14" t="s">
        <v>28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t="shared" ref="O21:P25" ca="1" si="0">+C$11+C$12*$F21</f>
        <v>-9.9029979365361856E-5</v>
      </c>
      <c r="P21">
        <f t="shared" ca="1" si="0"/>
        <v>-0.7640015957316636</v>
      </c>
      <c r="Q21" s="1">
        <f>+C21-15018.5</f>
        <v>39139.800999999999</v>
      </c>
      <c r="R21">
        <f>G21</f>
        <v>0</v>
      </c>
    </row>
    <row r="22" spans="1:19" ht="12.95" customHeight="1" x14ac:dyDescent="0.2">
      <c r="A22" s="38" t="s">
        <v>46</v>
      </c>
      <c r="B22" s="39" t="s">
        <v>47</v>
      </c>
      <c r="C22" s="38">
        <v>55868.915699999998</v>
      </c>
      <c r="D22" s="38">
        <v>1E-3</v>
      </c>
      <c r="E22">
        <f>+(C22-C$7)/C$8</f>
        <v>397.00029010060655</v>
      </c>
      <c r="F22">
        <f>ROUND(2*E22,0)/2</f>
        <v>397</v>
      </c>
      <c r="G22">
        <f>+C22-(C$7+F22*C$8)</f>
        <v>1.2500000011641532E-3</v>
      </c>
      <c r="I22">
        <f>+G22</f>
        <v>1.2500000011641532E-3</v>
      </c>
      <c r="O22">
        <f t="shared" ca="1" si="0"/>
        <v>1.7858622228411655E-3</v>
      </c>
      <c r="P22">
        <f t="shared" ca="1" si="0"/>
        <v>-0.71501010637841822</v>
      </c>
      <c r="Q22" s="1">
        <f>+C22-15018.5</f>
        <v>40850.415699999998</v>
      </c>
      <c r="R22">
        <f>G22</f>
        <v>1.2500000011641532E-3</v>
      </c>
    </row>
    <row r="23" spans="1:19" ht="12.95" customHeight="1" x14ac:dyDescent="0.2">
      <c r="A23" s="38" t="s">
        <v>46</v>
      </c>
      <c r="B23" s="39" t="s">
        <v>48</v>
      </c>
      <c r="C23" s="38">
        <v>55874.662900000003</v>
      </c>
      <c r="D23" s="38">
        <v>1.5E-3</v>
      </c>
      <c r="E23">
        <f>+(C23-C$7)/C$8</f>
        <v>398.33410306694446</v>
      </c>
      <c r="F23">
        <f>ROUND(2*E23,0)/2</f>
        <v>398.5</v>
      </c>
      <c r="G23">
        <f>+C23-(C$7+F23*C$8)</f>
        <v>-0.71482499999547144</v>
      </c>
      <c r="I23">
        <f>+G23</f>
        <v>-0.71482499999547144</v>
      </c>
      <c r="O23">
        <f t="shared" ca="1" si="0"/>
        <v>1.7929839817915681E-3</v>
      </c>
      <c r="P23">
        <f t="shared" ca="1" si="0"/>
        <v>-0.71482499999547144</v>
      </c>
      <c r="Q23" s="1">
        <f>+C23-15018.5</f>
        <v>40856.162900000003</v>
      </c>
      <c r="S23">
        <f>G23</f>
        <v>-0.71482499999547144</v>
      </c>
    </row>
    <row r="24" spans="1:19" ht="12.95" customHeight="1" x14ac:dyDescent="0.2">
      <c r="A24" s="40" t="s">
        <v>49</v>
      </c>
      <c r="B24" s="41" t="s">
        <v>47</v>
      </c>
      <c r="C24" s="42">
        <v>56256.713600000003</v>
      </c>
      <c r="D24" s="42">
        <v>4.0000000000000002E-4</v>
      </c>
      <c r="E24">
        <f>+(C24-C$7)/C$8</f>
        <v>487.00061501328742</v>
      </c>
      <c r="F24">
        <f>ROUND(2*E24,0)/2</f>
        <v>487</v>
      </c>
      <c r="G24">
        <f>+C24-(C$7+F24*C$8)</f>
        <v>2.6500000021769665E-3</v>
      </c>
      <c r="I24">
        <f>+G24</f>
        <v>2.6500000021769665E-3</v>
      </c>
      <c r="O24">
        <f t="shared" ca="1" si="0"/>
        <v>2.2131677598653155E-3</v>
      </c>
      <c r="P24">
        <f t="shared" ca="1" si="0"/>
        <v>-0.70390372340161189</v>
      </c>
      <c r="Q24" s="1">
        <f>+C24-15018.5</f>
        <v>41238.213600000003</v>
      </c>
      <c r="R24">
        <f>G24</f>
        <v>2.6500000021769665E-3</v>
      </c>
    </row>
    <row r="25" spans="1:19" ht="12.95" customHeight="1" x14ac:dyDescent="0.2">
      <c r="A25" s="40" t="s">
        <v>49</v>
      </c>
      <c r="B25" s="41" t="s">
        <v>48</v>
      </c>
      <c r="C25" s="42">
        <v>56279.706400000003</v>
      </c>
      <c r="D25" s="42">
        <v>3.0000000000000003E-4</v>
      </c>
      <c r="E25">
        <f>+(C25-C$7)/C$8</f>
        <v>492.33679520057638</v>
      </c>
      <c r="F25">
        <f>ROUND(2*E25,0)/2</f>
        <v>492.5</v>
      </c>
      <c r="G25">
        <f>+C25-(C$7+F25*C$8)</f>
        <v>-0.70322499999747379</v>
      </c>
      <c r="I25">
        <f>+G25</f>
        <v>-0.70322499999747379</v>
      </c>
      <c r="O25">
        <f t="shared" ca="1" si="0"/>
        <v>2.2392808760167914E-3</v>
      </c>
      <c r="P25">
        <f t="shared" ca="1" si="0"/>
        <v>-0.70322499999747379</v>
      </c>
      <c r="Q25" s="1">
        <f>+C25-15018.5</f>
        <v>41261.206400000003</v>
      </c>
      <c r="S25">
        <f>G25</f>
        <v>-0.70322499999747379</v>
      </c>
    </row>
    <row r="26" spans="1:19" ht="12.95" customHeight="1" x14ac:dyDescent="0.2">
      <c r="A26" s="12"/>
      <c r="B26" s="13"/>
      <c r="C26" s="11"/>
      <c r="D26" s="14"/>
      <c r="Q26" s="1"/>
    </row>
    <row r="27" spans="1:19" ht="12.95" customHeight="1" x14ac:dyDescent="0.2">
      <c r="A27" s="10"/>
      <c r="B27" s="10"/>
      <c r="C27" s="11"/>
      <c r="D27" s="11"/>
      <c r="Q27" s="1"/>
    </row>
    <row r="28" spans="1:19" ht="12.95" customHeight="1" x14ac:dyDescent="0.2">
      <c r="A28" s="10"/>
      <c r="B28" s="10"/>
      <c r="C28" s="11"/>
      <c r="D28" s="11"/>
      <c r="Q28" s="1"/>
    </row>
    <row r="29" spans="1:19" ht="12.95" customHeight="1" x14ac:dyDescent="0.2">
      <c r="A29" s="15"/>
      <c r="B29" s="16"/>
      <c r="C29" s="17"/>
      <c r="D29" s="17"/>
      <c r="Q29" s="1"/>
    </row>
    <row r="30" spans="1:19" ht="12.95" customHeight="1" x14ac:dyDescent="0.2">
      <c r="A30" s="12"/>
      <c r="B30" s="13"/>
      <c r="C30" s="11"/>
      <c r="D30" s="14"/>
      <c r="Q30" s="1"/>
    </row>
    <row r="31" spans="1:19" ht="12.95" customHeight="1" x14ac:dyDescent="0.2">
      <c r="A31" s="15"/>
      <c r="B31" s="18"/>
      <c r="C31" s="11"/>
      <c r="D31" s="11"/>
      <c r="Q31" s="1"/>
    </row>
    <row r="32" spans="1:19" x14ac:dyDescent="0.2">
      <c r="A32" s="15"/>
      <c r="B32" s="18"/>
      <c r="C32" s="11"/>
      <c r="D32" s="11"/>
      <c r="Q32" s="1"/>
    </row>
    <row r="33" spans="1:17" x14ac:dyDescent="0.2">
      <c r="A33" s="19"/>
      <c r="B33" s="13"/>
      <c r="C33" s="11"/>
      <c r="D33" s="14"/>
      <c r="Q33" s="1"/>
    </row>
    <row r="34" spans="1:17" x14ac:dyDescent="0.2">
      <c r="A34" s="19"/>
      <c r="B34" s="13"/>
      <c r="C34" s="11"/>
      <c r="D34" s="14"/>
      <c r="Q34" s="1"/>
    </row>
    <row r="35" spans="1:17" x14ac:dyDescent="0.2">
      <c r="A35" s="19"/>
      <c r="B35" s="13"/>
      <c r="C35" s="11"/>
      <c r="D35" s="14"/>
      <c r="Q35" s="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2024-03-03T07:04:25Z</dcterms:modified>
</cp:coreProperties>
</file>