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EBB34E6-4224-40D1-A300-E100962DA08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21" i="1"/>
  <c r="Q21" i="1"/>
  <c r="A21" i="1"/>
  <c r="G11" i="1"/>
  <c r="F11" i="1"/>
  <c r="C7" i="1"/>
  <c r="C8" i="1"/>
  <c r="E15" i="1"/>
  <c r="C17" i="1"/>
  <c r="E22" i="1"/>
  <c r="F22" i="1"/>
  <c r="G22" i="1"/>
  <c r="I22" i="1"/>
  <c r="E21" i="1"/>
  <c r="F21" i="1"/>
  <c r="G21" i="1"/>
  <c r="H21" i="1"/>
  <c r="C11" i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<sst xmlns="http://schemas.openxmlformats.org/spreadsheetml/2006/main" count="51" uniqueCount="46">
  <si>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</si>
  <si>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</si>
  <si>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</si>
  <si>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</si>
  <si>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</si>
  <si>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</si>
  <si>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</si>
  <si>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</si>
  <si>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</si>
  <si>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</si>
  <si>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</si>
  <si>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</si>
  <si>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</si>
  <si>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</si>
  <si>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</si>
  <si>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</si>
  <si>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</si>
  <si>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</si>
  <si>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</si>
  <si>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</si>
  <si>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</si>
  <si>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</si>
  <si>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</si>
  <si>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</si>
  <si>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</si>
  <si>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</si>
  <si>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</si>
  <si>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</si>
  <si>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</si>
  <si>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</si>
  <si>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</si>
  <si>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</si>
  <si>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</si>
  <si>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</si>
  <si>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</si>
  <si>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</si>
  <si>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</si>
  <si>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G7482-0186_PsA.xls</t>
  </si>
  <si>
    <t>EA</t>
  </si>
  <si>
    <t>IBVS 5532 Eph.</t>
  </si>
  <si>
    <t>IBVS 5532</t>
  </si>
  <si>
    <t>PsA</t>
  </si>
  <si>
    <t>YY PsA / GSC 7482 0186 / NSV 13711</t>
  </si>
  <si>
    <t>IBVS 6093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</si>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</sst>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PsA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40-4C6F-AD1C-372287DD8C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-2.3480000003473833E-2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40-4C6F-AD1C-372287DD8C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40-4C6F-AD1C-372287DD8C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40-4C6F-AD1C-372287DD8C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40-4C6F-AD1C-372287DD8C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40-4C6F-AD1C-372287DD8C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40-4C6F-AD1C-372287DD8C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-2.3480000003473833E-2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40-4C6F-AD1C-372287DD8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331408"/>
        <c:axId val="1"/>
      </c:scatterChart>
      <c:valAx>
        <c:axId val="738331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331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A8EE0C-8EB6-1E67-A77A-D7EA194D3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4"/>
      <c r="F1" s="5" t="s">
        <v>37</v>
      </c>
      <c r="G1" s="6" t="s">
        <v>38</v>
      </c>
      <c r="H1" s="7" t="s">
        <v>39</v>
      </c>
      <c r="I1" s="8">
        <v>52500.633999999998</v>
      </c>
      <c r="J1" s="8">
        <v>1.8624400000000001</v>
      </c>
      <c r="K1" s="7" t="s">
        <v>40</v>
      </c>
      <c r="L1" s="9" t="s">
        <v>41</v>
      </c>
    </row>
    <row r="2" spans="1:12" s="10" customFormat="1" ht="12.95" customHeight="1">
      <c r="A2" s="10" t="s">
        <v>23</v>
      </c>
      <c r="B2" s="10" t="s">
        <v>38</v>
      </c>
      <c r="C2" s="11" t="s">
        <v>41</v>
      </c>
      <c r="D2" s="10" t="s">
        <v>37</v>
      </c>
    </row>
    <row r="3" spans="1:12" s="10" customFormat="1" ht="12.95" customHeight="1" thickBot="1"/>
    <row r="4" spans="1:12" s="10" customFormat="1" ht="12.95" customHeight="1" thickTop="1" thickBot="1">
      <c r="A4" s="12" t="s">
        <v>39</v>
      </c>
      <c r="C4" s="13">
        <v>52500.633999999998</v>
      </c>
      <c r="D4" s="14">
        <v>1.8624400000000001</v>
      </c>
    </row>
    <row r="5" spans="1:12" s="10" customFormat="1" ht="12.95" customHeight="1"/>
    <row r="6" spans="1:12" s="10" customFormat="1" ht="12.95" customHeight="1">
      <c r="A6" s="15" t="s">
        <v>0</v>
      </c>
    </row>
    <row r="7" spans="1:12" s="10" customFormat="1" ht="12.95" customHeight="1">
      <c r="A7" s="10" t="s">
        <v>1</v>
      </c>
      <c r="C7" s="10">
        <f>+C4</f>
        <v>52500.633999999998</v>
      </c>
    </row>
    <row r="8" spans="1:12" s="10" customFormat="1" ht="12.95" customHeight="1">
      <c r="A8" s="10" t="s">
        <v>2</v>
      </c>
      <c r="C8" s="10">
        <f>+D4</f>
        <v>1.8624400000000001</v>
      </c>
    </row>
    <row r="9" spans="1:12" s="10" customFormat="1" ht="12.95" customHeight="1">
      <c r="A9" s="12" t="s">
        <v>30</v>
      </c>
      <c r="C9" s="16">
        <v>-9.5</v>
      </c>
      <c r="D9" s="10" t="s">
        <v>31</v>
      </c>
    </row>
    <row r="10" spans="1:12" s="10" customFormat="1" ht="12.95" customHeight="1" thickBot="1">
      <c r="C10" s="17" t="s">
        <v>19</v>
      </c>
      <c r="D10" s="17" t="s">
        <v>20</v>
      </c>
    </row>
    <row r="11" spans="1:12" s="10" customFormat="1" ht="12.95" customHeight="1">
      <c r="A11" s="10" t="s">
        <v>14</v>
      </c>
      <c r="C11" s="18">
        <f ca="1">INTERCEPT(INDIRECT($G$11):G992,INDIRECT($F$11):F992)</f>
        <v>0</v>
      </c>
      <c r="D11" s="19"/>
      <c r="F11" s="20" t="str">
        <f>"F"&amp;E19</f>
        <v>F21</v>
      </c>
      <c r="G11" s="18" t="str">
        <f>"G"&amp;E19</f>
        <v>G21</v>
      </c>
    </row>
    <row r="12" spans="1:12" s="10" customFormat="1" ht="12.95" customHeight="1">
      <c r="A12" s="10" t="s">
        <v>15</v>
      </c>
      <c r="C12" s="18">
        <f ca="1">SLOPE(INDIRECT($G$11):G992,INDIRECT($F$11):F992)</f>
        <v>-1.0785484613446869E-5</v>
      </c>
      <c r="D12" s="19"/>
    </row>
    <row r="13" spans="1:12" s="10" customFormat="1" ht="12.95" customHeight="1">
      <c r="A13" s="10" t="s">
        <v>18</v>
      </c>
      <c r="C13" s="19" t="s">
        <v>12</v>
      </c>
      <c r="D13" s="19"/>
    </row>
    <row r="14" spans="1:12" s="10" customFormat="1" ht="12.95" customHeight="1"/>
    <row r="15" spans="1:12" s="10" customFormat="1" ht="12.95" customHeight="1">
      <c r="A15" s="21" t="s">
        <v>16</v>
      </c>
      <c r="C15" s="22">
        <f ca="1">(C7+C11)+(C8+C12)*INT(MAX(F21:F3533))</f>
        <v>56555.142399999997</v>
      </c>
      <c r="D15" s="23" t="s">
        <v>32</v>
      </c>
      <c r="E15" s="24">
        <f ca="1">TODAY()+15018.5-B9/24</f>
        <v>60373.5</v>
      </c>
    </row>
    <row r="16" spans="1:12" s="10" customFormat="1" ht="12.95" customHeight="1">
      <c r="A16" s="15" t="s">
        <v>3</v>
      </c>
      <c r="C16" s="25">
        <f ca="1">+C8+C12</f>
        <v>1.8624292145153867</v>
      </c>
      <c r="D16" s="23" t="s">
        <v>33</v>
      </c>
      <c r="E16" s="24">
        <f ca="1">ROUND(2*(E15-C15)/C16,0)/2+1</f>
        <v>2051</v>
      </c>
    </row>
    <row r="17" spans="1:17" s="10" customFormat="1" ht="12.95" customHeight="1" thickBot="1">
      <c r="A17" s="23" t="s">
        <v>29</v>
      </c>
      <c r="C17" s="10">
        <f>COUNT(C21:C2191)</f>
        <v>2</v>
      </c>
      <c r="D17" s="23" t="s">
        <v>34</v>
      </c>
      <c r="E17" s="26">
        <f ca="1">+C15+C16*E16-15018.5-C9/24</f>
        <v>45356.880552304392</v>
      </c>
    </row>
    <row r="18" spans="1:17" s="10" customFormat="1" ht="12.95" customHeight="1" thickTop="1" thickBot="1">
      <c r="A18" s="15" t="s">
        <v>4</v>
      </c>
      <c r="C18" s="27">
        <f ca="1">+C15</f>
        <v>56555.142399999997</v>
      </c>
      <c r="D18" s="28">
        <f ca="1">+C16</f>
        <v>1.8624292145153867</v>
      </c>
      <c r="E18" s="29" t="s">
        <v>35</v>
      </c>
    </row>
    <row r="19" spans="1:17" s="10" customFormat="1" ht="12.95" customHeight="1" thickTop="1">
      <c r="A19" s="7" t="s">
        <v>36</v>
      </c>
      <c r="E19" s="30">
        <v>21</v>
      </c>
    </row>
    <row r="20" spans="1:17" s="10" customFormat="1" ht="12.95" customHeight="1" thickBot="1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31" t="s">
        <v>28</v>
      </c>
      <c r="I20" s="31" t="s">
        <v>45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7" t="s">
        <v>13</v>
      </c>
    </row>
    <row r="21" spans="1:17" s="10" customFormat="1" ht="12.95" customHeight="1">
      <c r="A21" s="10" t="str">
        <f>$K$1</f>
        <v>IBVS 5532</v>
      </c>
      <c r="C21" s="11">
        <f>+$C$4</f>
        <v>52500.633999999998</v>
      </c>
      <c r="D21" s="11" t="s">
        <v>12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>
        <f ca="1">+C$11+C$12*$F21</f>
        <v>0</v>
      </c>
      <c r="Q21" s="33">
        <f>+C21-15018.5</f>
        <v>37482.133999999998</v>
      </c>
    </row>
    <row r="22" spans="1:17" s="10" customFormat="1" ht="12.95" customHeight="1">
      <c r="A22" s="34" t="s">
        <v>43</v>
      </c>
      <c r="B22" s="35" t="s">
        <v>44</v>
      </c>
      <c r="C22" s="34">
        <v>56555.142399999997</v>
      </c>
      <c r="D22" s="34">
        <v>2.0000000000000001E-4</v>
      </c>
      <c r="E22" s="10">
        <f>+(C22-C$7)/C$8</f>
        <v>2176.9873928824545</v>
      </c>
      <c r="F22" s="10">
        <f>ROUND(2*E22,0)/2</f>
        <v>2177</v>
      </c>
      <c r="G22" s="10">
        <f>+C22-(C$7+F22*C$8)</f>
        <v>-2.3480000003473833E-2</v>
      </c>
      <c r="I22" s="10">
        <f>+G22</f>
        <v>-2.3480000003473833E-2</v>
      </c>
      <c r="O22" s="10">
        <f ca="1">+C$11+C$12*$F22</f>
        <v>-2.3480000003473833E-2</v>
      </c>
      <c r="Q22" s="33">
        <f>+C22-15018.5</f>
        <v>41536.642399999997</v>
      </c>
    </row>
    <row r="23" spans="1:17" s="10" customFormat="1" ht="12.95" customHeight="1">
      <c r="C23" s="11"/>
      <c r="D23" s="11"/>
      <c r="Q23" s="33"/>
    </row>
    <row r="24" spans="1:17" s="10" customFormat="1" ht="12.95" customHeight="1">
      <c r="Q24" s="33"/>
    </row>
    <row r="25" spans="1:17" s="10" customFormat="1" ht="12.95" customHeight="1">
      <c r="C25" s="11"/>
      <c r="D25" s="11"/>
      <c r="Q25" s="33"/>
    </row>
    <row r="26" spans="1:17" s="10" customFormat="1" ht="12.95" customHeight="1">
      <c r="C26" s="11"/>
      <c r="D26" s="11"/>
      <c r="Q26" s="33"/>
    </row>
    <row r="27" spans="1:17" s="10" customFormat="1" ht="12.95" customHeight="1">
      <c r="C27" s="11"/>
      <c r="D27" s="11"/>
      <c r="Q27" s="33"/>
    </row>
    <row r="28" spans="1:17" s="10" customFormat="1" ht="12.95" customHeight="1">
      <c r="C28" s="11"/>
      <c r="D28" s="11"/>
      <c r="Q28" s="33"/>
    </row>
    <row r="29" spans="1:17" s="10" customFormat="1" ht="12.95" customHeight="1">
      <c r="C29" s="11"/>
      <c r="D29" s="11"/>
      <c r="Q29" s="33"/>
    </row>
    <row r="30" spans="1:17" s="10" customFormat="1" ht="12.95" customHeight="1">
      <c r="C30" s="11"/>
      <c r="D30" s="11"/>
      <c r="Q30" s="33"/>
    </row>
    <row r="31" spans="1:17" s="10" customFormat="1" ht="12.95" customHeight="1">
      <c r="C31" s="11"/>
      <c r="D31" s="11"/>
      <c r="Q31" s="33"/>
    </row>
    <row r="32" spans="1:17">
      <c r="C32" s="3"/>
      <c r="D32" s="3"/>
      <c r="Q32" s="2"/>
    </row>
    <row r="33" spans="3:17">
      <c r="C33" s="3"/>
      <c r="D33" s="3"/>
      <c r="Q33" s="2"/>
    </row>
    <row r="34" spans="3:17">
      <c r="C34" s="3"/>
      <c r="D34" s="3"/>
    </row>
    <row r="35" spans="3:17">
      <c r="C35" s="3"/>
      <c r="D35" s="3"/>
    </row>
    <row r="36" spans="3:17">
      <c r="C36" s="3"/>
      <c r="D36" s="3"/>
    </row>
    <row r="37" spans="3:17">
      <c r="C37" s="3"/>
      <c r="D37" s="3"/>
    </row>
    <row r="38" spans="3:17">
      <c r="C38" s="3"/>
      <c r="D38" s="3"/>
    </row>
    <row r="39" spans="3:17">
      <c r="C39" s="3"/>
      <c r="D39" s="3"/>
    </row>
    <row r="40" spans="3:17">
      <c r="C40" s="3"/>
      <c r="D40" s="3"/>
    </row>
    <row r="41" spans="3:17">
      <c r="C41" s="3"/>
      <c r="D41" s="3"/>
    </row>
    <row r="42" spans="3:17">
      <c r="C42" s="3"/>
      <c r="D42" s="3"/>
    </row>
    <row r="43" spans="3:17">
      <c r="C43" s="3"/>
      <c r="D43" s="3"/>
    </row>
    <row r="44" spans="3:17">
      <c r="C44" s="3"/>
      <c r="D44" s="3"/>
    </row>
    <row r="45" spans="3:17">
      <c r="C45" s="3"/>
      <c r="D45" s="3"/>
    </row>
    <row r="46" spans="3:17">
      <c r="C46" s="3"/>
      <c r="D46" s="3"/>
    </row>
    <row r="47" spans="3:17">
      <c r="C47" s="3"/>
      <c r="D47" s="3"/>
    </row>
    <row r="48" spans="3:17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2024-03-04T04:03:19Z</dcterms:modified>
</cp:coreProperties>
</file>