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D555944-3C41-4342-9C46-7B94586056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4" i="1" l="1"/>
  <c r="F84" i="1" s="1"/>
  <c r="G84" i="1" s="1"/>
  <c r="K84" i="1" s="1"/>
  <c r="Q84" i="1"/>
  <c r="F14" i="1"/>
  <c r="E80" i="1"/>
  <c r="F80" i="1" s="1"/>
  <c r="G80" i="1" s="1"/>
  <c r="K80" i="1" s="1"/>
  <c r="Q80" i="1"/>
  <c r="E81" i="1"/>
  <c r="F81" i="1" s="1"/>
  <c r="G81" i="1" s="1"/>
  <c r="K81" i="1" s="1"/>
  <c r="Q81" i="1"/>
  <c r="E82" i="1"/>
  <c r="F82" i="1" s="1"/>
  <c r="G82" i="1" s="1"/>
  <c r="K82" i="1" s="1"/>
  <c r="Q82" i="1"/>
  <c r="E83" i="1"/>
  <c r="F83" i="1" s="1"/>
  <c r="G83" i="1" s="1"/>
  <c r="K83" i="1" s="1"/>
  <c r="Q83" i="1"/>
  <c r="E69" i="1"/>
  <c r="F69" i="1" s="1"/>
  <c r="G69" i="1" s="1"/>
  <c r="K69" i="1" s="1"/>
  <c r="Q69" i="1"/>
  <c r="E73" i="1"/>
  <c r="F73" i="1" s="1"/>
  <c r="G73" i="1" s="1"/>
  <c r="K73" i="1" s="1"/>
  <c r="Q73" i="1"/>
  <c r="E74" i="1"/>
  <c r="F74" i="1" s="1"/>
  <c r="G74" i="1" s="1"/>
  <c r="K74" i="1" s="1"/>
  <c r="Q74" i="1"/>
  <c r="E75" i="1"/>
  <c r="F75" i="1" s="1"/>
  <c r="G75" i="1" s="1"/>
  <c r="K75" i="1" s="1"/>
  <c r="Q75" i="1"/>
  <c r="E76" i="1"/>
  <c r="F76" i="1" s="1"/>
  <c r="G76" i="1" s="1"/>
  <c r="K76" i="1" s="1"/>
  <c r="Q76" i="1"/>
  <c r="E77" i="1"/>
  <c r="F77" i="1" s="1"/>
  <c r="G77" i="1" s="1"/>
  <c r="K77" i="1" s="1"/>
  <c r="Q77" i="1"/>
  <c r="E78" i="1"/>
  <c r="F78" i="1" s="1"/>
  <c r="G78" i="1" s="1"/>
  <c r="K78" i="1" s="1"/>
  <c r="Q78" i="1"/>
  <c r="E79" i="1"/>
  <c r="F79" i="1" s="1"/>
  <c r="G79" i="1" s="1"/>
  <c r="K79" i="1" s="1"/>
  <c r="Q79" i="1"/>
  <c r="E68" i="1"/>
  <c r="F68" i="1" s="1"/>
  <c r="G68" i="1" s="1"/>
  <c r="K68" i="1" s="1"/>
  <c r="Q68" i="1"/>
  <c r="E70" i="1"/>
  <c r="F70" i="1" s="1"/>
  <c r="G70" i="1" s="1"/>
  <c r="K70" i="1" s="1"/>
  <c r="Q70" i="1"/>
  <c r="E71" i="1"/>
  <c r="F71" i="1"/>
  <c r="G71" i="1" s="1"/>
  <c r="K71" i="1" s="1"/>
  <c r="Q71" i="1"/>
  <c r="E72" i="1"/>
  <c r="F72" i="1" s="1"/>
  <c r="G72" i="1" s="1"/>
  <c r="K72" i="1" s="1"/>
  <c r="Q72" i="1"/>
  <c r="E58" i="1"/>
  <c r="F58" i="1" s="1"/>
  <c r="G58" i="1" s="1"/>
  <c r="K58" i="1" s="1"/>
  <c r="E61" i="1"/>
  <c r="F61" i="1" s="1"/>
  <c r="G61" i="1" s="1"/>
  <c r="K61" i="1" s="1"/>
  <c r="E62" i="1"/>
  <c r="F62" i="1" s="1"/>
  <c r="G62" i="1" s="1"/>
  <c r="K62" i="1" s="1"/>
  <c r="E63" i="1"/>
  <c r="F63" i="1" s="1"/>
  <c r="G63" i="1" s="1"/>
  <c r="K63" i="1" s="1"/>
  <c r="E64" i="1"/>
  <c r="F64" i="1" s="1"/>
  <c r="G64" i="1" s="1"/>
  <c r="K64" i="1" s="1"/>
  <c r="E65" i="1"/>
  <c r="F65" i="1" s="1"/>
  <c r="G65" i="1" s="1"/>
  <c r="K65" i="1" s="1"/>
  <c r="E66" i="1"/>
  <c r="F66" i="1" s="1"/>
  <c r="G66" i="1" s="1"/>
  <c r="K66" i="1" s="1"/>
  <c r="E67" i="1"/>
  <c r="F67" i="1" s="1"/>
  <c r="G67" i="1" s="1"/>
  <c r="K67" i="1" s="1"/>
  <c r="E50" i="1"/>
  <c r="F50" i="1"/>
  <c r="G50" i="1" s="1"/>
  <c r="J50" i="1" s="1"/>
  <c r="E51" i="1"/>
  <c r="F51" i="1" s="1"/>
  <c r="G51" i="1" s="1"/>
  <c r="J51" i="1" s="1"/>
  <c r="E52" i="1"/>
  <c r="F52" i="1" s="1"/>
  <c r="G52" i="1" s="1"/>
  <c r="J52" i="1" s="1"/>
  <c r="E53" i="1"/>
  <c r="F53" i="1" s="1"/>
  <c r="G53" i="1" s="1"/>
  <c r="K53" i="1" s="1"/>
  <c r="E54" i="1"/>
  <c r="F54" i="1" s="1"/>
  <c r="G54" i="1" s="1"/>
  <c r="K54" i="1" s="1"/>
  <c r="E55" i="1"/>
  <c r="F55" i="1" s="1"/>
  <c r="G55" i="1" s="1"/>
  <c r="K55" i="1" s="1"/>
  <c r="E56" i="1"/>
  <c r="F56" i="1" s="1"/>
  <c r="G56" i="1" s="1"/>
  <c r="K56" i="1" s="1"/>
  <c r="E57" i="1"/>
  <c r="F57" i="1" s="1"/>
  <c r="G57" i="1" s="1"/>
  <c r="K57" i="1" s="1"/>
  <c r="E59" i="1"/>
  <c r="F59" i="1"/>
  <c r="G59" i="1" s="1"/>
  <c r="K59" i="1" s="1"/>
  <c r="E60" i="1"/>
  <c r="F60" i="1" s="1"/>
  <c r="G60" i="1" s="1"/>
  <c r="K60" i="1" s="1"/>
  <c r="Q58" i="1"/>
  <c r="Q61" i="1"/>
  <c r="Q62" i="1"/>
  <c r="Q63" i="1"/>
  <c r="Q64" i="1"/>
  <c r="Q65" i="1"/>
  <c r="Q66" i="1"/>
  <c r="Q67" i="1"/>
  <c r="E30" i="1"/>
  <c r="F30" i="1" s="1"/>
  <c r="U30" i="1" s="1"/>
  <c r="E27" i="1"/>
  <c r="F27" i="1" s="1"/>
  <c r="G27" i="1" s="1"/>
  <c r="J27" i="1" s="1"/>
  <c r="E28" i="1"/>
  <c r="F28" i="1" s="1"/>
  <c r="G28" i="1" s="1"/>
  <c r="J28" i="1" s="1"/>
  <c r="E29" i="1"/>
  <c r="F29" i="1" s="1"/>
  <c r="G29" i="1" s="1"/>
  <c r="J29" i="1" s="1"/>
  <c r="E31" i="1"/>
  <c r="F31" i="1" s="1"/>
  <c r="G31" i="1" s="1"/>
  <c r="J31" i="1" s="1"/>
  <c r="E32" i="1"/>
  <c r="F32" i="1" s="1"/>
  <c r="G32" i="1" s="1"/>
  <c r="K32" i="1" s="1"/>
  <c r="E33" i="1"/>
  <c r="E16" i="2" s="1"/>
  <c r="E34" i="1"/>
  <c r="F34" i="1" s="1"/>
  <c r="G34" i="1" s="1"/>
  <c r="J34" i="1" s="1"/>
  <c r="E35" i="1"/>
  <c r="F35" i="1" s="1"/>
  <c r="G35" i="1" s="1"/>
  <c r="K35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K38" i="1" s="1"/>
  <c r="E39" i="1"/>
  <c r="E22" i="2" s="1"/>
  <c r="E40" i="1"/>
  <c r="F40" i="1" s="1"/>
  <c r="G40" i="1" s="1"/>
  <c r="K40" i="1" s="1"/>
  <c r="E41" i="1"/>
  <c r="F41" i="1" s="1"/>
  <c r="G41" i="1" s="1"/>
  <c r="K41" i="1" s="1"/>
  <c r="E42" i="1"/>
  <c r="F42" i="1" s="1"/>
  <c r="G42" i="1" s="1"/>
  <c r="K42" i="1" s="1"/>
  <c r="E43" i="1"/>
  <c r="F43" i="1" s="1"/>
  <c r="G43" i="1" s="1"/>
  <c r="K43" i="1" s="1"/>
  <c r="E44" i="1"/>
  <c r="F44" i="1" s="1"/>
  <c r="G44" i="1" s="1"/>
  <c r="K44" i="1" s="1"/>
  <c r="E45" i="1"/>
  <c r="F45" i="1" s="1"/>
  <c r="G45" i="1" s="1"/>
  <c r="K45" i="1" s="1"/>
  <c r="E46" i="1"/>
  <c r="F46" i="1" s="1"/>
  <c r="G46" i="1" s="1"/>
  <c r="J46" i="1" s="1"/>
  <c r="E47" i="1"/>
  <c r="E41" i="2" s="1"/>
  <c r="E48" i="1"/>
  <c r="F48" i="1" s="1"/>
  <c r="G48" i="1" s="1"/>
  <c r="K48" i="1" s="1"/>
  <c r="E49" i="1"/>
  <c r="E42" i="2" s="1"/>
  <c r="Q60" i="1"/>
  <c r="Q59" i="1"/>
  <c r="E21" i="1"/>
  <c r="F21" i="1" s="1"/>
  <c r="G21" i="1" s="1"/>
  <c r="J21" i="1" s="1"/>
  <c r="E22" i="1"/>
  <c r="E34" i="2" s="1"/>
  <c r="F22" i="1"/>
  <c r="G22" i="1" s="1"/>
  <c r="K22" i="1" s="1"/>
  <c r="E23" i="1"/>
  <c r="F23" i="1" s="1"/>
  <c r="G23" i="1" s="1"/>
  <c r="K23" i="1" s="1"/>
  <c r="E24" i="1"/>
  <c r="E36" i="2" s="1"/>
  <c r="E25" i="1"/>
  <c r="F25" i="1" s="1"/>
  <c r="G25" i="1" s="1"/>
  <c r="K25" i="1" s="1"/>
  <c r="E26" i="1"/>
  <c r="E38" i="2" s="1"/>
  <c r="F26" i="1"/>
  <c r="G26" i="1" s="1"/>
  <c r="K26" i="1" s="1"/>
  <c r="D9" i="1"/>
  <c r="C9" i="1"/>
  <c r="Q56" i="1"/>
  <c r="Q55" i="1"/>
  <c r="Q54" i="1"/>
  <c r="Q53" i="1"/>
  <c r="Q49" i="1"/>
  <c r="Q47" i="1"/>
  <c r="Q46" i="1"/>
  <c r="Q32" i="1"/>
  <c r="Q26" i="1"/>
  <c r="Q25" i="1"/>
  <c r="Q24" i="1"/>
  <c r="Q23" i="1"/>
  <c r="Q22" i="1"/>
  <c r="Q21" i="1"/>
  <c r="G47" i="2"/>
  <c r="C47" i="2"/>
  <c r="E47" i="2"/>
  <c r="G46" i="2"/>
  <c r="C46" i="2"/>
  <c r="G45" i="2"/>
  <c r="C45" i="2"/>
  <c r="E45" i="2"/>
  <c r="G44" i="2"/>
  <c r="C44" i="2"/>
  <c r="E44" i="2"/>
  <c r="G43" i="2"/>
  <c r="C43" i="2"/>
  <c r="G32" i="2"/>
  <c r="C32" i="2"/>
  <c r="G31" i="2"/>
  <c r="C31" i="2"/>
  <c r="G30" i="2"/>
  <c r="C30" i="2"/>
  <c r="E30" i="2"/>
  <c r="G42" i="2"/>
  <c r="C42" i="2"/>
  <c r="G29" i="2"/>
  <c r="C29" i="2"/>
  <c r="E29" i="2"/>
  <c r="G41" i="2"/>
  <c r="C41" i="2"/>
  <c r="G40" i="2"/>
  <c r="C40" i="2"/>
  <c r="E40" i="2"/>
  <c r="G28" i="2"/>
  <c r="C28" i="2"/>
  <c r="E28" i="2"/>
  <c r="G27" i="2"/>
  <c r="C27" i="2"/>
  <c r="E27" i="2"/>
  <c r="G26" i="2"/>
  <c r="C26" i="2"/>
  <c r="G25" i="2"/>
  <c r="C25" i="2"/>
  <c r="G24" i="2"/>
  <c r="C24" i="2"/>
  <c r="E24" i="2"/>
  <c r="G23" i="2"/>
  <c r="C23" i="2"/>
  <c r="E23" i="2"/>
  <c r="G22" i="2"/>
  <c r="C22" i="2"/>
  <c r="G21" i="2"/>
  <c r="C21" i="2"/>
  <c r="E21" i="2"/>
  <c r="G20" i="2"/>
  <c r="C20" i="2"/>
  <c r="E20" i="2"/>
  <c r="G19" i="2"/>
  <c r="C19" i="2"/>
  <c r="G18" i="2"/>
  <c r="C18" i="2"/>
  <c r="G17" i="2"/>
  <c r="C17" i="2"/>
  <c r="G16" i="2"/>
  <c r="C16" i="2"/>
  <c r="G39" i="2"/>
  <c r="C39" i="2"/>
  <c r="E39" i="2"/>
  <c r="G15" i="2"/>
  <c r="C15" i="2"/>
  <c r="E15" i="2"/>
  <c r="G14" i="2"/>
  <c r="C14" i="2"/>
  <c r="E14" i="2"/>
  <c r="G13" i="2"/>
  <c r="C13" i="2"/>
  <c r="E13" i="2"/>
  <c r="G12" i="2"/>
  <c r="C12" i="2"/>
  <c r="G11" i="2"/>
  <c r="C11" i="2"/>
  <c r="G38" i="2"/>
  <c r="C38" i="2"/>
  <c r="G37" i="2"/>
  <c r="C37" i="2"/>
  <c r="E37" i="2"/>
  <c r="G36" i="2"/>
  <c r="C36" i="2"/>
  <c r="G35" i="2"/>
  <c r="C35" i="2"/>
  <c r="G34" i="2"/>
  <c r="C34" i="2"/>
  <c r="G33" i="2"/>
  <c r="C33" i="2"/>
  <c r="E33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32" i="2"/>
  <c r="B32" i="2"/>
  <c r="D32" i="2"/>
  <c r="A32" i="2"/>
  <c r="H31" i="2"/>
  <c r="B31" i="2"/>
  <c r="D31" i="2"/>
  <c r="A31" i="2"/>
  <c r="H30" i="2"/>
  <c r="B30" i="2"/>
  <c r="D30" i="2"/>
  <c r="A30" i="2"/>
  <c r="H42" i="2"/>
  <c r="B42" i="2"/>
  <c r="D42" i="2"/>
  <c r="A42" i="2"/>
  <c r="H29" i="2"/>
  <c r="B29" i="2"/>
  <c r="D29" i="2"/>
  <c r="A29" i="2"/>
  <c r="H41" i="2"/>
  <c r="B41" i="2"/>
  <c r="D41" i="2"/>
  <c r="A41" i="2"/>
  <c r="H40" i="2"/>
  <c r="B40" i="2"/>
  <c r="D40" i="2"/>
  <c r="A40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39" i="2"/>
  <c r="B39" i="2"/>
  <c r="D39" i="2"/>
  <c r="A39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Q57" i="1"/>
  <c r="Q35" i="1"/>
  <c r="C17" i="1"/>
  <c r="Q50" i="1"/>
  <c r="Q51" i="1"/>
  <c r="Q52" i="1"/>
  <c r="Q36" i="1"/>
  <c r="Q37" i="1"/>
  <c r="Q38" i="1"/>
  <c r="Q39" i="1"/>
  <c r="Q40" i="1"/>
  <c r="Q41" i="1"/>
  <c r="Q42" i="1"/>
  <c r="Q43" i="1"/>
  <c r="Q44" i="1"/>
  <c r="Q45" i="1"/>
  <c r="Q48" i="1"/>
  <c r="Q31" i="1"/>
  <c r="Q27" i="1"/>
  <c r="Q28" i="1"/>
  <c r="Q29" i="1"/>
  <c r="Q34" i="1"/>
  <c r="Q33" i="1"/>
  <c r="Q30" i="1"/>
  <c r="C11" i="1"/>
  <c r="C12" i="1"/>
  <c r="O84" i="1" l="1"/>
  <c r="F47" i="1"/>
  <c r="U47" i="1" s="1"/>
  <c r="E25" i="2"/>
  <c r="E43" i="2"/>
  <c r="E18" i="2"/>
  <c r="F39" i="1"/>
  <c r="G39" i="1" s="1"/>
  <c r="K39" i="1" s="1"/>
  <c r="F33" i="1"/>
  <c r="G33" i="1" s="1"/>
  <c r="K33" i="1" s="1"/>
  <c r="E11" i="2"/>
  <c r="F24" i="1"/>
  <c r="G24" i="1" s="1"/>
  <c r="K24" i="1" s="1"/>
  <c r="F49" i="1"/>
  <c r="G49" i="1" s="1"/>
  <c r="K49" i="1" s="1"/>
  <c r="E12" i="2"/>
  <c r="E17" i="2"/>
  <c r="F15" i="1"/>
  <c r="E35" i="2"/>
  <c r="E46" i="2"/>
  <c r="E26" i="2"/>
  <c r="E31" i="2"/>
  <c r="E19" i="2"/>
  <c r="E32" i="2"/>
  <c r="O82" i="1"/>
  <c r="O81" i="1"/>
  <c r="O80" i="1"/>
  <c r="O83" i="1"/>
  <c r="O74" i="1"/>
  <c r="O78" i="1"/>
  <c r="O73" i="1"/>
  <c r="O77" i="1"/>
  <c r="O75" i="1"/>
  <c r="O79" i="1"/>
  <c r="O69" i="1"/>
  <c r="O76" i="1"/>
  <c r="O67" i="1"/>
  <c r="O35" i="1"/>
  <c r="O39" i="1"/>
  <c r="O68" i="1"/>
  <c r="O59" i="1"/>
  <c r="O21" i="1"/>
  <c r="O49" i="1"/>
  <c r="O57" i="1"/>
  <c r="O37" i="1"/>
  <c r="O51" i="1"/>
  <c r="O25" i="1"/>
  <c r="O38" i="1"/>
  <c r="O30" i="1"/>
  <c r="O36" i="1"/>
  <c r="O58" i="1"/>
  <c r="O23" i="1"/>
  <c r="O55" i="1"/>
  <c r="O47" i="1"/>
  <c r="O46" i="1"/>
  <c r="O33" i="1"/>
  <c r="O40" i="1"/>
  <c r="O32" i="1"/>
  <c r="O44" i="1"/>
  <c r="O71" i="1"/>
  <c r="O41" i="1"/>
  <c r="O56" i="1"/>
  <c r="O64" i="1"/>
  <c r="O63" i="1"/>
  <c r="O22" i="1"/>
  <c r="O42" i="1"/>
  <c r="O70" i="1"/>
  <c r="O31" i="1"/>
  <c r="O48" i="1"/>
  <c r="O66" i="1"/>
  <c r="O43" i="1"/>
  <c r="O72" i="1"/>
  <c r="O27" i="1"/>
  <c r="O60" i="1"/>
  <c r="O54" i="1"/>
  <c r="O50" i="1"/>
  <c r="O29" i="1"/>
  <c r="O34" i="1"/>
  <c r="O65" i="1"/>
  <c r="O26" i="1"/>
  <c r="O61" i="1"/>
  <c r="O28" i="1"/>
  <c r="O45" i="1"/>
  <c r="O52" i="1"/>
  <c r="O53" i="1"/>
  <c r="O62" i="1"/>
  <c r="C16" i="1"/>
  <c r="D18" i="1" s="1"/>
  <c r="C15" i="1" l="1"/>
  <c r="C18" i="1" s="1"/>
  <c r="O24" i="1"/>
  <c r="F16" i="1" l="1"/>
  <c r="F18" i="1" s="1"/>
  <c r="F17" i="1" l="1"/>
</calcChain>
</file>

<file path=xl/sharedStrings.xml><?xml version="1.0" encoding="utf-8"?>
<sst xmlns="http://schemas.openxmlformats.org/spreadsheetml/2006/main" count="524" uniqueCount="248">
  <si>
    <t>JAVSO..45..121</t>
  </si>
  <si>
    <t>VSB-063</t>
  </si>
  <si>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</si>
  <si>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</si>
  <si>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</si>
  <si>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</si>
  <si>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</si>
  <si>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</si>
  <si>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</si>
  <si>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</si>
  <si>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</si>
  <si>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</si>
  <si>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</si>
  <si>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</si>
  <si>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</si>
  <si>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</si>
  <si>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</si>
  <si>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</si>
  <si>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</si>
  <si>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</si>
  <si>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</si>
  <si>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</si>
  <si>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</si>
  <si>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</si>
  <si>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</si>
  <si>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</si>
  <si>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</si>
  <si>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</si>
  <si>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</si>
  <si>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</si>
  <si>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not avail.</t>
  </si>
  <si>
    <t># of data points:</t>
  </si>
  <si>
    <t>AQ Psc / GSC 0613-0352</t>
  </si>
  <si>
    <t>IBVS 4126</t>
  </si>
  <si>
    <t>II</t>
  </si>
  <si>
    <t>IBVS 4380</t>
  </si>
  <si>
    <t>I</t>
  </si>
  <si>
    <t>IBVS 5439</t>
  </si>
  <si>
    <t>IBVS 5463</t>
  </si>
  <si>
    <t>EW/KW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</si>
  <si>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</si>
  <si>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</si>
  <si>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</si>
  <si>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</si>
  <si>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</si>
  <si>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5843</t>
  </si>
  <si>
    <t>IBVS 5887</t>
  </si>
  <si>
    <t>Add cycle</t>
  </si>
  <si>
    <t>Old Cycle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</si>
  <si>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</si>
  <si>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</si>
  <si>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</si>
  <si>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</si>
  <si>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</si>
  <si>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</si>
  <si>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</si>
  <si>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</si>
  <si>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</si>
  <si>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</si>
  <si>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</si>
  <si>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</si>
  <si>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2444562.4691 </t>
  </si>
  <si>
    <t> 18.11.1980 23:15 </t>
  </si>
  <si>
    <t> -2.2327 </t>
  </si>
  <si>
    <t>E </t>
  </si>
  <si>
    <t>?</t>
  </si>
  <si>
    <t> Sarma&amp;Radhakrishn. </t>
  </si>
  <si>
    <t>IBVS 2073 </t>
  </si>
  <si>
    <t>2447804.431 </t>
  </si>
  <si>
    <t> 04.10.1989 22:20 </t>
  </si>
  <si>
    <t> -1.271 </t>
  </si>
  <si>
    <t>C </t>
  </si>
  <si>
    <t>o</t>
  </si>
  <si>
    <t> E.Wunder </t>
  </si>
  <si>
    <t>BAVM 225 </t>
  </si>
  <si>
    <t>2447985.360 </t>
  </si>
  <si>
    <t> 03.04.1990 20:38 </t>
  </si>
  <si>
    <t> -1.309 </t>
  </si>
  <si>
    <t>2448983.221 </t>
  </si>
  <si>
    <t> 26.12.1992 17:18 </t>
  </si>
  <si>
    <t> -1.264 </t>
  </si>
  <si>
    <t>2448987.260 </t>
  </si>
  <si>
    <t> 30.12.1992 18:14 </t>
  </si>
  <si>
    <t> -1.268 </t>
  </si>
  <si>
    <t>2448992.254 </t>
  </si>
  <si>
    <t> 04.01.1993 18:05 </t>
  </si>
  <si>
    <t>2449283.3250 </t>
  </si>
  <si>
    <t> 22.10.1993 19:48 </t>
  </si>
  <si>
    <t> -1.2659 </t>
  </si>
  <si>
    <t> H.Dündar </t>
  </si>
  <si>
    <t>IBVS 4380 </t>
  </si>
  <si>
    <t>2449326.3696 </t>
  </si>
  <si>
    <t> 04.12.1993 20:52 </t>
  </si>
  <si>
    <t> -1.2635 </t>
  </si>
  <si>
    <t> S.Özdemir </t>
  </si>
  <si>
    <t>2449327.3203 </t>
  </si>
  <si>
    <t> 05.12.1993 19:41 </t>
  </si>
  <si>
    <t> -1.2640 </t>
  </si>
  <si>
    <t>2449596.4629 </t>
  </si>
  <si>
    <t> 31.08.1994 23:06 </t>
  </si>
  <si>
    <t> -1.3129 </t>
  </si>
  <si>
    <t>B</t>
  </si>
  <si>
    <t> O.Demircan et al. </t>
  </si>
  <si>
    <t>IBVS 4126 </t>
  </si>
  <si>
    <t>2449596.5183 </t>
  </si>
  <si>
    <t> 01.09.1994 00:26 </t>
  </si>
  <si>
    <t> -1.2575 </t>
  </si>
  <si>
    <t>G</t>
  </si>
  <si>
    <t>2450333.4720 </t>
  </si>
  <si>
    <t> 06.09.1996 23:19 </t>
  </si>
  <si>
    <t> -1.2515 </t>
  </si>
  <si>
    <t> Lu &amp; Ricinski </t>
  </si>
  <si>
    <t> AJ 118, 515 </t>
  </si>
  <si>
    <t>2452189.5488 </t>
  </si>
  <si>
    <t> 07.10.2001 01:10 </t>
  </si>
  <si>
    <t> -0.0283 </t>
  </si>
  <si>
    <t> Z.Müyesseroglu et al. </t>
  </si>
  <si>
    <t>IBVS 5463 </t>
  </si>
  <si>
    <t>2452193.3573 </t>
  </si>
  <si>
    <t> 10.10.2001 20:34 </t>
  </si>
  <si>
    <t> -0.0246 </t>
  </si>
  <si>
    <t> Derman&amp;Kalci </t>
  </si>
  <si>
    <t>IBVS 5439 </t>
  </si>
  <si>
    <t>2452194.5459 </t>
  </si>
  <si>
    <t> 12.10.2001 01:06 </t>
  </si>
  <si>
    <t> -0.0250 </t>
  </si>
  <si>
    <t>2453271.8084 </t>
  </si>
  <si>
    <t> 23.09.2004 07:24 </t>
  </si>
  <si>
    <t> -0.0045 </t>
  </si>
  <si>
    <t>-I</t>
  </si>
  <si>
    <t> W.Ogloza et al. </t>
  </si>
  <si>
    <t>IBVS 5843 </t>
  </si>
  <si>
    <t>2453273.7106 </t>
  </si>
  <si>
    <t> 25.09.2004 05:03 </t>
  </si>
  <si>
    <t>1626</t>
  </si>
  <si>
    <t> -0.0047 </t>
  </si>
  <si>
    <t>2453274.6609 </t>
  </si>
  <si>
    <t> 26.09.2004 03:51 </t>
  </si>
  <si>
    <t>1628</t>
  </si>
  <si>
    <t> -0.0056 </t>
  </si>
  <si>
    <t>2453283.6975 </t>
  </si>
  <si>
    <t> 05.10.2004 04:44 </t>
  </si>
  <si>
    <t>1647</t>
  </si>
  <si>
    <t> -0.0055 </t>
  </si>
  <si>
    <t>2453286.7873 </t>
  </si>
  <si>
    <t> 08.10.2004 06:53 </t>
  </si>
  <si>
    <t>1653.5</t>
  </si>
  <si>
    <t> -0.0071 </t>
  </si>
  <si>
    <t>2453287.7417 </t>
  </si>
  <si>
    <t> 09.10.2004 05:48 </t>
  </si>
  <si>
    <t>1655.5</t>
  </si>
  <si>
    <t> -0.0039 </t>
  </si>
  <si>
    <t>2453288.6942 </t>
  </si>
  <si>
    <t> 10.10.2004 04:39 </t>
  </si>
  <si>
    <t>1657.5</t>
  </si>
  <si>
    <t> -0.0026 </t>
  </si>
  <si>
    <t>2453289.6437 </t>
  </si>
  <si>
    <t> 11.10.2004 03:26 </t>
  </si>
  <si>
    <t>1659.5</t>
  </si>
  <si>
    <t> -0.0043 </t>
  </si>
  <si>
    <t>2453302.7217 </t>
  </si>
  <si>
    <t> 24.10.2004 05:19 </t>
  </si>
  <si>
    <t>1687</t>
  </si>
  <si>
    <t> -0.0054 </t>
  </si>
  <si>
    <t>2453338.6295 </t>
  </si>
  <si>
    <t> 29.11.2004 03:06 </t>
  </si>
  <si>
    <t>1762.5</t>
  </si>
  <si>
    <t> -0.0057 </t>
  </si>
  <si>
    <t>2453642.5405 </t>
  </si>
  <si>
    <t> 29.09.2005 00:58 </t>
  </si>
  <si>
    <t>2401.5</t>
  </si>
  <si>
    <t> -0.0053 </t>
  </si>
  <si>
    <t> H.V.Senavci et al. </t>
  </si>
  <si>
    <t>IBVS 5754 </t>
  </si>
  <si>
    <t>2453709.3197 </t>
  </si>
  <si>
    <t> 04.12.2005 19:40 </t>
  </si>
  <si>
    <t>2542</t>
  </si>
  <si>
    <t> -0.0484 </t>
  </si>
  <si>
    <t>2453994.7293 </t>
  </si>
  <si>
    <t> 16.09.2006 05:30 </t>
  </si>
  <si>
    <t>3142</t>
  </si>
  <si>
    <t> -0.0009 </t>
  </si>
  <si>
    <t>2454006.1433 </t>
  </si>
  <si>
    <t> 27.09.2006 15:26 </t>
  </si>
  <si>
    <t>3166</t>
  </si>
  <si>
    <t> -0.0014 </t>
  </si>
  <si>
    <t> K.Nagai et al. </t>
  </si>
  <si>
    <t>VSB 45 </t>
  </si>
  <si>
    <t>2454417.3032 </t>
  </si>
  <si>
    <t> 12.11.2007 19:16 </t>
  </si>
  <si>
    <t>4030.5</t>
  </si>
  <si>
    <t> -0.0007 </t>
  </si>
  <si>
    <t>B;V</t>
  </si>
  <si>
    <t> T.Tanriverdi &amp; E.Civelek </t>
  </si>
  <si>
    <t>IBVS 5887 </t>
  </si>
  <si>
    <t>2454763.3041 </t>
  </si>
  <si>
    <t> 23.10.2008 19:17 </t>
  </si>
  <si>
    <t>4758</t>
  </si>
  <si>
    <t> C.Tezcan &amp; D.Öztürk </t>
  </si>
  <si>
    <t>2454764.4984 </t>
  </si>
  <si>
    <t> 24.10.2008 23:57 </t>
  </si>
  <si>
    <t>4760.5</t>
  </si>
  <si>
    <t> 0.0039 </t>
  </si>
  <si>
    <t> Z.Avci &amp; S.Saydam </t>
  </si>
  <si>
    <t>2454848.9155 </t>
  </si>
  <si>
    <t> 17.01.2009 09:58 </t>
  </si>
  <si>
    <t>4938</t>
  </si>
  <si>
    <t> 0.0014 </t>
  </si>
  <si>
    <t>Ic</t>
  </si>
  <si>
    <t> K.Nakajima </t>
  </si>
  <si>
    <t>VSB 50 </t>
  </si>
  <si>
    <t>2455510.9495 </t>
  </si>
  <si>
    <t> 10.11.2010 10:47 </t>
  </si>
  <si>
    <t>6330</t>
  </si>
  <si>
    <t>Rc</t>
  </si>
  <si>
    <t> K.Nagai </t>
  </si>
  <si>
    <t>VSB 51 </t>
  </si>
  <si>
    <t>2455891.9131 </t>
  </si>
  <si>
    <t> 26.11.2011 09:54 </t>
  </si>
  <si>
    <t>7131</t>
  </si>
  <si>
    <t> 0.0005 </t>
  </si>
  <si>
    <t>VSB 53 </t>
  </si>
  <si>
    <t>2456241.9568 </t>
  </si>
  <si>
    <t> 10.11.2012 10:57 </t>
  </si>
  <si>
    <t>7867</t>
  </si>
  <si>
    <t> 0.0001 </t>
  </si>
  <si>
    <t>VSB 55 </t>
  </si>
  <si>
    <t>2456917.0774 </t>
  </si>
  <si>
    <t> 16.09.2014 13:51 </t>
  </si>
  <si>
    <t>9286.5</t>
  </si>
  <si>
    <t> 0.0015 </t>
  </si>
  <si>
    <t>VSB 59 </t>
  </si>
  <si>
    <t>IBVS 5754</t>
  </si>
  <si>
    <t>BAD?</t>
  </si>
  <si>
    <t>IBVS 6196</t>
  </si>
  <si>
    <t>JAVSO..48…87</t>
  </si>
  <si>
    <t>VSB 069</t>
  </si>
  <si>
    <t>JAVSO, 48, 87</t>
  </si>
  <si>
    <t>JBAV, 60</t>
  </si>
  <si>
    <t>VSB, 91</t>
  </si>
  <si>
    <t>JAAVSO 51, 138</t>
  </si>
  <si>
    <t>VSB, 108</t>
  </si>
  <si>
    <t>JAAVSO52#1</t>
  </si>
  <si>
    <t xml:space="preserve">Mag </t>
  </si>
  <si>
    <t>Next ToM-P</t>
  </si>
  <si>
    <t>Next ToM-S</t>
  </si>
  <si>
    <t>8.60-8.96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</si>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</sst>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6" fillId="0" borderId="0"/>
    <xf numFmtId="0" fontId="11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>
      <alignment vertical="top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6" fillId="0" borderId="0" xfId="44" applyFont="1" applyAlignment="1">
      <alignment horizontal="left"/>
    </xf>
    <xf numFmtId="0" fontId="36" fillId="0" borderId="0" xfId="44" applyFont="1" applyAlignment="1">
      <alignment horizontal="center"/>
    </xf>
    <xf numFmtId="0" fontId="37" fillId="0" borderId="0" xfId="43" applyFont="1" applyAlignment="1">
      <alignment horizontal="left" vertical="center"/>
    </xf>
    <xf numFmtId="0" fontId="37" fillId="0" borderId="0" xfId="43" applyFont="1" applyAlignment="1">
      <alignment horizontal="center" vertical="center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165" fontId="38" fillId="0" borderId="0" xfId="0" applyNumberFormat="1" applyFont="1" applyAlignment="1">
      <alignment horizontal="left" vertical="center" wrapText="1"/>
    </xf>
    <xf numFmtId="165" fontId="38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0" fontId="39" fillId="0" borderId="21" xfId="0" applyFont="1" applyBorder="1" applyAlignment="1">
      <alignment horizontal="right" vertical="center"/>
    </xf>
    <xf numFmtId="0" fontId="39" fillId="0" borderId="23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0" fillId="0" borderId="22" xfId="0" applyFont="1" applyBorder="1" applyAlignment="1">
      <alignment horizontal="right" vertical="center"/>
    </xf>
    <xf numFmtId="22" fontId="40" fillId="0" borderId="22" xfId="0" applyNumberFormat="1" applyFont="1" applyBorder="1" applyAlignment="1">
      <alignment horizontal="right" vertical="center"/>
    </xf>
    <xf numFmtId="22" fontId="40" fillId="0" borderId="24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Psc - O-C Diagr.</a:t>
            </a:r>
          </a:p>
        </c:rich>
      </c:tx>
      <c:layout>
        <c:manualLayout>
          <c:xMode val="edge"/>
          <c:yMode val="edge"/>
          <c:x val="0.378029418374399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94484265699971"/>
          <c:y val="0.11771186577137981"/>
          <c:w val="0.81574410821965637"/>
          <c:h val="0.659728515530650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2333</c:v>
                </c:pt>
                <c:pt idx="31">
                  <c:v>2335.5</c:v>
                </c:pt>
                <c:pt idx="32">
                  <c:v>2513</c:v>
                </c:pt>
                <c:pt idx="33">
                  <c:v>3905</c:v>
                </c:pt>
                <c:pt idx="34">
                  <c:v>4706</c:v>
                </c:pt>
                <c:pt idx="35">
                  <c:v>5442</c:v>
                </c:pt>
                <c:pt idx="36">
                  <c:v>6118</c:v>
                </c:pt>
                <c:pt idx="37">
                  <c:v>6861.5</c:v>
                </c:pt>
                <c:pt idx="38">
                  <c:v>6861.5</c:v>
                </c:pt>
                <c:pt idx="39">
                  <c:v>7758</c:v>
                </c:pt>
                <c:pt idx="40">
                  <c:v>8470</c:v>
                </c:pt>
                <c:pt idx="41">
                  <c:v>8470</c:v>
                </c:pt>
                <c:pt idx="42">
                  <c:v>8470</c:v>
                </c:pt>
                <c:pt idx="43">
                  <c:v>8503.5</c:v>
                </c:pt>
                <c:pt idx="44">
                  <c:v>8503.5</c:v>
                </c:pt>
                <c:pt idx="45">
                  <c:v>8503.5</c:v>
                </c:pt>
                <c:pt idx="46">
                  <c:v>8594.5</c:v>
                </c:pt>
                <c:pt idx="47">
                  <c:v>10727</c:v>
                </c:pt>
                <c:pt idx="48">
                  <c:v>10727</c:v>
                </c:pt>
                <c:pt idx="49">
                  <c:v>11430.5</c:v>
                </c:pt>
                <c:pt idx="50">
                  <c:v>11430.5</c:v>
                </c:pt>
                <c:pt idx="51">
                  <c:v>11430.5</c:v>
                </c:pt>
                <c:pt idx="52">
                  <c:v>11610</c:v>
                </c:pt>
                <c:pt idx="53">
                  <c:v>12112</c:v>
                </c:pt>
                <c:pt idx="54">
                  <c:v>12112</c:v>
                </c:pt>
                <c:pt idx="55">
                  <c:v>12112</c:v>
                </c:pt>
                <c:pt idx="56">
                  <c:v>12141.5</c:v>
                </c:pt>
                <c:pt idx="57">
                  <c:v>12315.5</c:v>
                </c:pt>
                <c:pt idx="58">
                  <c:v>12315.5</c:v>
                </c:pt>
                <c:pt idx="59">
                  <c:v>12946.5</c:v>
                </c:pt>
                <c:pt idx="60">
                  <c:v>13106</c:v>
                </c:pt>
                <c:pt idx="61">
                  <c:v>13116.5</c:v>
                </c:pt>
                <c:pt idx="62">
                  <c:v>13198</c:v>
                </c:pt>
                <c:pt idx="63">
                  <c:v>13759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B1-4731-A69F-5E8F0C5253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1.5E-3</c:v>
                  </c:pt>
                  <c:pt idx="63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1.5E-3</c:v>
                  </c:pt>
                  <c:pt idx="6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2333</c:v>
                </c:pt>
                <c:pt idx="31">
                  <c:v>2335.5</c:v>
                </c:pt>
                <c:pt idx="32">
                  <c:v>2513</c:v>
                </c:pt>
                <c:pt idx="33">
                  <c:v>3905</c:v>
                </c:pt>
                <c:pt idx="34">
                  <c:v>4706</c:v>
                </c:pt>
                <c:pt idx="35">
                  <c:v>5442</c:v>
                </c:pt>
                <c:pt idx="36">
                  <c:v>6118</c:v>
                </c:pt>
                <c:pt idx="37">
                  <c:v>6861.5</c:v>
                </c:pt>
                <c:pt idx="38">
                  <c:v>6861.5</c:v>
                </c:pt>
                <c:pt idx="39">
                  <c:v>7758</c:v>
                </c:pt>
                <c:pt idx="40">
                  <c:v>8470</c:v>
                </c:pt>
                <c:pt idx="41">
                  <c:v>8470</c:v>
                </c:pt>
                <c:pt idx="42">
                  <c:v>8470</c:v>
                </c:pt>
                <c:pt idx="43">
                  <c:v>8503.5</c:v>
                </c:pt>
                <c:pt idx="44">
                  <c:v>8503.5</c:v>
                </c:pt>
                <c:pt idx="45">
                  <c:v>8503.5</c:v>
                </c:pt>
                <c:pt idx="46">
                  <c:v>8594.5</c:v>
                </c:pt>
                <c:pt idx="47">
                  <c:v>10727</c:v>
                </c:pt>
                <c:pt idx="48">
                  <c:v>10727</c:v>
                </c:pt>
                <c:pt idx="49">
                  <c:v>11430.5</c:v>
                </c:pt>
                <c:pt idx="50">
                  <c:v>11430.5</c:v>
                </c:pt>
                <c:pt idx="51">
                  <c:v>11430.5</c:v>
                </c:pt>
                <c:pt idx="52">
                  <c:v>11610</c:v>
                </c:pt>
                <c:pt idx="53">
                  <c:v>12112</c:v>
                </c:pt>
                <c:pt idx="54">
                  <c:v>12112</c:v>
                </c:pt>
                <c:pt idx="55">
                  <c:v>12112</c:v>
                </c:pt>
                <c:pt idx="56">
                  <c:v>12141.5</c:v>
                </c:pt>
                <c:pt idx="57">
                  <c:v>12315.5</c:v>
                </c:pt>
                <c:pt idx="58">
                  <c:v>12315.5</c:v>
                </c:pt>
                <c:pt idx="59">
                  <c:v>12946.5</c:v>
                </c:pt>
                <c:pt idx="60">
                  <c:v>13106</c:v>
                </c:pt>
                <c:pt idx="61">
                  <c:v>13116.5</c:v>
                </c:pt>
                <c:pt idx="62">
                  <c:v>13198</c:v>
                </c:pt>
                <c:pt idx="63">
                  <c:v>13759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B1-4731-A69F-5E8F0C52530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1.5E-3</c:v>
                  </c:pt>
                  <c:pt idx="63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1.5E-3</c:v>
                  </c:pt>
                  <c:pt idx="6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2333</c:v>
                </c:pt>
                <c:pt idx="31">
                  <c:v>2335.5</c:v>
                </c:pt>
                <c:pt idx="32">
                  <c:v>2513</c:v>
                </c:pt>
                <c:pt idx="33">
                  <c:v>3905</c:v>
                </c:pt>
                <c:pt idx="34">
                  <c:v>4706</c:v>
                </c:pt>
                <c:pt idx="35">
                  <c:v>5442</c:v>
                </c:pt>
                <c:pt idx="36">
                  <c:v>6118</c:v>
                </c:pt>
                <c:pt idx="37">
                  <c:v>6861.5</c:v>
                </c:pt>
                <c:pt idx="38">
                  <c:v>6861.5</c:v>
                </c:pt>
                <c:pt idx="39">
                  <c:v>7758</c:v>
                </c:pt>
                <c:pt idx="40">
                  <c:v>8470</c:v>
                </c:pt>
                <c:pt idx="41">
                  <c:v>8470</c:v>
                </c:pt>
                <c:pt idx="42">
                  <c:v>8470</c:v>
                </c:pt>
                <c:pt idx="43">
                  <c:v>8503.5</c:v>
                </c:pt>
                <c:pt idx="44">
                  <c:v>8503.5</c:v>
                </c:pt>
                <c:pt idx="45">
                  <c:v>8503.5</c:v>
                </c:pt>
                <c:pt idx="46">
                  <c:v>8594.5</c:v>
                </c:pt>
                <c:pt idx="47">
                  <c:v>10727</c:v>
                </c:pt>
                <c:pt idx="48">
                  <c:v>10727</c:v>
                </c:pt>
                <c:pt idx="49">
                  <c:v>11430.5</c:v>
                </c:pt>
                <c:pt idx="50">
                  <c:v>11430.5</c:v>
                </c:pt>
                <c:pt idx="51">
                  <c:v>11430.5</c:v>
                </c:pt>
                <c:pt idx="52">
                  <c:v>11610</c:v>
                </c:pt>
                <c:pt idx="53">
                  <c:v>12112</c:v>
                </c:pt>
                <c:pt idx="54">
                  <c:v>12112</c:v>
                </c:pt>
                <c:pt idx="55">
                  <c:v>12112</c:v>
                </c:pt>
                <c:pt idx="56">
                  <c:v>12141.5</c:v>
                </c:pt>
                <c:pt idx="57">
                  <c:v>12315.5</c:v>
                </c:pt>
                <c:pt idx="58">
                  <c:v>12315.5</c:v>
                </c:pt>
                <c:pt idx="59">
                  <c:v>12946.5</c:v>
                </c:pt>
                <c:pt idx="60">
                  <c:v>13106</c:v>
                </c:pt>
                <c:pt idx="61">
                  <c:v>13116.5</c:v>
                </c:pt>
                <c:pt idx="62">
                  <c:v>13198</c:v>
                </c:pt>
                <c:pt idx="63">
                  <c:v>13759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-7.6539999994565733E-2</c:v>
                </c:pt>
                <c:pt idx="6">
                  <c:v>-6.5944000001763925E-2</c:v>
                </c:pt>
                <c:pt idx="7">
                  <c:v>-6.3505999998596963E-2</c:v>
                </c:pt>
                <c:pt idx="8">
                  <c:v>-6.4013999995950144E-2</c:v>
                </c:pt>
                <c:pt idx="10">
                  <c:v>-5.7877999992342666E-2</c:v>
                </c:pt>
                <c:pt idx="13">
                  <c:v>-1.6717999991669785E-2</c:v>
                </c:pt>
                <c:pt idx="25">
                  <c:v>1.0940000065602362E-3</c:v>
                </c:pt>
                <c:pt idx="29">
                  <c:v>4.8780000070109963E-3</c:v>
                </c:pt>
                <c:pt idx="30">
                  <c:v>3.8680000070598908E-3</c:v>
                </c:pt>
                <c:pt idx="31">
                  <c:v>9.1580000007525086E-3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B1-4731-A69F-5E8F0C52530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1.5E-3</c:v>
                  </c:pt>
                  <c:pt idx="63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1.5E-3</c:v>
                  </c:pt>
                  <c:pt idx="6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2333</c:v>
                </c:pt>
                <c:pt idx="31">
                  <c:v>2335.5</c:v>
                </c:pt>
                <c:pt idx="32">
                  <c:v>2513</c:v>
                </c:pt>
                <c:pt idx="33">
                  <c:v>3905</c:v>
                </c:pt>
                <c:pt idx="34">
                  <c:v>4706</c:v>
                </c:pt>
                <c:pt idx="35">
                  <c:v>5442</c:v>
                </c:pt>
                <c:pt idx="36">
                  <c:v>6118</c:v>
                </c:pt>
                <c:pt idx="37">
                  <c:v>6861.5</c:v>
                </c:pt>
                <c:pt idx="38">
                  <c:v>6861.5</c:v>
                </c:pt>
                <c:pt idx="39">
                  <c:v>7758</c:v>
                </c:pt>
                <c:pt idx="40">
                  <c:v>8470</c:v>
                </c:pt>
                <c:pt idx="41">
                  <c:v>8470</c:v>
                </c:pt>
                <c:pt idx="42">
                  <c:v>8470</c:v>
                </c:pt>
                <c:pt idx="43">
                  <c:v>8503.5</c:v>
                </c:pt>
                <c:pt idx="44">
                  <c:v>8503.5</c:v>
                </c:pt>
                <c:pt idx="45">
                  <c:v>8503.5</c:v>
                </c:pt>
                <c:pt idx="46">
                  <c:v>8594.5</c:v>
                </c:pt>
                <c:pt idx="47">
                  <c:v>10727</c:v>
                </c:pt>
                <c:pt idx="48">
                  <c:v>10727</c:v>
                </c:pt>
                <c:pt idx="49">
                  <c:v>11430.5</c:v>
                </c:pt>
                <c:pt idx="50">
                  <c:v>11430.5</c:v>
                </c:pt>
                <c:pt idx="51">
                  <c:v>11430.5</c:v>
                </c:pt>
                <c:pt idx="52">
                  <c:v>11610</c:v>
                </c:pt>
                <c:pt idx="53">
                  <c:v>12112</c:v>
                </c:pt>
                <c:pt idx="54">
                  <c:v>12112</c:v>
                </c:pt>
                <c:pt idx="55">
                  <c:v>12112</c:v>
                </c:pt>
                <c:pt idx="56">
                  <c:v>12141.5</c:v>
                </c:pt>
                <c:pt idx="57">
                  <c:v>12315.5</c:v>
                </c:pt>
                <c:pt idx="58">
                  <c:v>12315.5</c:v>
                </c:pt>
                <c:pt idx="59">
                  <c:v>12946.5</c:v>
                </c:pt>
                <c:pt idx="60">
                  <c:v>13106</c:v>
                </c:pt>
                <c:pt idx="61">
                  <c:v>13116.5</c:v>
                </c:pt>
                <c:pt idx="62">
                  <c:v>13198</c:v>
                </c:pt>
                <c:pt idx="63">
                  <c:v>13759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-6.9305999997595791E-2</c:v>
                </c:pt>
                <c:pt idx="2">
                  <c:v>-0.1076279999979306</c:v>
                </c:pt>
                <c:pt idx="3">
                  <c:v>-6.3820000003033783E-2</c:v>
                </c:pt>
                <c:pt idx="4">
                  <c:v>-6.7453999996359926E-2</c:v>
                </c:pt>
                <c:pt idx="5">
                  <c:v>-6.729599999380298E-2</c:v>
                </c:pt>
                <c:pt idx="11">
                  <c:v>-5.2575999994587619E-2</c:v>
                </c:pt>
                <c:pt idx="12">
                  <c:v>-2.0386000003782101E-2</c:v>
                </c:pt>
                <c:pt idx="14">
                  <c:v>-1.7127999999502208E-2</c:v>
                </c:pt>
                <c:pt idx="15">
                  <c:v>2.3120000041672029E-3</c:v>
                </c:pt>
                <c:pt idx="16">
                  <c:v>2.0960000038030557E-3</c:v>
                </c:pt>
                <c:pt idx="17">
                  <c:v>1.1880000020028092E-3</c:v>
                </c:pt>
                <c:pt idx="18">
                  <c:v>1.3120000076014549E-3</c:v>
                </c:pt>
                <c:pt idx="19">
                  <c:v>-3.1399999716086313E-4</c:v>
                </c:pt>
                <c:pt idx="20">
                  <c:v>2.8779999993275851E-3</c:v>
                </c:pt>
                <c:pt idx="21">
                  <c:v>4.1700000001583248E-3</c:v>
                </c:pt>
                <c:pt idx="22">
                  <c:v>2.4620000040158629E-3</c:v>
                </c:pt>
                <c:pt idx="23">
                  <c:v>1.3520000065909699E-3</c:v>
                </c:pt>
                <c:pt idx="24">
                  <c:v>1.0500000062165782E-3</c:v>
                </c:pt>
                <c:pt idx="27">
                  <c:v>5.1319999984116293E-3</c:v>
                </c:pt>
                <c:pt idx="28">
                  <c:v>4.6360000051208772E-3</c:v>
                </c:pt>
                <c:pt idx="32">
                  <c:v>6.5480000048410147E-3</c:v>
                </c:pt>
                <c:pt idx="33">
                  <c:v>-2.1999999444233254E-4</c:v>
                </c:pt>
                <c:pt idx="34">
                  <c:v>4.5759999993606471E-3</c:v>
                </c:pt>
                <c:pt idx="35">
                  <c:v>3.7320000046747737E-3</c:v>
                </c:pt>
                <c:pt idx="36">
                  <c:v>5.1979999989271164E-3</c:v>
                </c:pt>
                <c:pt idx="37">
                  <c:v>4.4539998343680054E-3</c:v>
                </c:pt>
                <c:pt idx="38">
                  <c:v>4.4540000017150305E-3</c:v>
                </c:pt>
                <c:pt idx="39">
                  <c:v>6.5680000043357722E-3</c:v>
                </c:pt>
                <c:pt idx="40">
                  <c:v>4.0200000075856224E-3</c:v>
                </c:pt>
                <c:pt idx="41">
                  <c:v>6.1200000054668635E-3</c:v>
                </c:pt>
                <c:pt idx="42">
                  <c:v>6.4200000051641837E-3</c:v>
                </c:pt>
                <c:pt idx="43">
                  <c:v>3.1860000017331913E-3</c:v>
                </c:pt>
                <c:pt idx="44">
                  <c:v>3.5860000061802566E-3</c:v>
                </c:pt>
                <c:pt idx="45">
                  <c:v>4.6860000002197921E-3</c:v>
                </c:pt>
                <c:pt idx="46">
                  <c:v>3.7220000012894161E-3</c:v>
                </c:pt>
                <c:pt idx="47">
                  <c:v>-6.0800000210292637E-4</c:v>
                </c:pt>
                <c:pt idx="48">
                  <c:v>-6.0800000210292637E-4</c:v>
                </c:pt>
                <c:pt idx="49">
                  <c:v>-2.6219999926979654E-3</c:v>
                </c:pt>
                <c:pt idx="50">
                  <c:v>-2.6219999926979654E-3</c:v>
                </c:pt>
                <c:pt idx="51">
                  <c:v>3.3780000012484379E-3</c:v>
                </c:pt>
                <c:pt idx="52">
                  <c:v>-3.2399999981862493E-3</c:v>
                </c:pt>
                <c:pt idx="53">
                  <c:v>-6.7479999052011408E-3</c:v>
                </c:pt>
                <c:pt idx="54">
                  <c:v>-4.7480000430368818E-3</c:v>
                </c:pt>
                <c:pt idx="55">
                  <c:v>-3.7479998791241087E-3</c:v>
                </c:pt>
                <c:pt idx="56">
                  <c:v>-2.9660000873263925E-3</c:v>
                </c:pt>
                <c:pt idx="57">
                  <c:v>-5.3620000180671923E-3</c:v>
                </c:pt>
                <c:pt idx="58">
                  <c:v>-4.6619998101959936E-3</c:v>
                </c:pt>
                <c:pt idx="59">
                  <c:v>-1.008599998021964E-2</c:v>
                </c:pt>
                <c:pt idx="60">
                  <c:v>-1.4924000162864104E-2</c:v>
                </c:pt>
                <c:pt idx="61">
                  <c:v>-1.4066000003367662E-2</c:v>
                </c:pt>
                <c:pt idx="62">
                  <c:v>-1.4291999992565252E-2</c:v>
                </c:pt>
                <c:pt idx="63">
                  <c:v>-2.1736000002420042E-2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B1-4731-A69F-5E8F0C52530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1.5E-3</c:v>
                  </c:pt>
                  <c:pt idx="63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1.5E-3</c:v>
                  </c:pt>
                  <c:pt idx="6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2333</c:v>
                </c:pt>
                <c:pt idx="31">
                  <c:v>2335.5</c:v>
                </c:pt>
                <c:pt idx="32">
                  <c:v>2513</c:v>
                </c:pt>
                <c:pt idx="33">
                  <c:v>3905</c:v>
                </c:pt>
                <c:pt idx="34">
                  <c:v>4706</c:v>
                </c:pt>
                <c:pt idx="35">
                  <c:v>5442</c:v>
                </c:pt>
                <c:pt idx="36">
                  <c:v>6118</c:v>
                </c:pt>
                <c:pt idx="37">
                  <c:v>6861.5</c:v>
                </c:pt>
                <c:pt idx="38">
                  <c:v>6861.5</c:v>
                </c:pt>
                <c:pt idx="39">
                  <c:v>7758</c:v>
                </c:pt>
                <c:pt idx="40">
                  <c:v>8470</c:v>
                </c:pt>
                <c:pt idx="41">
                  <c:v>8470</c:v>
                </c:pt>
                <c:pt idx="42">
                  <c:v>8470</c:v>
                </c:pt>
                <c:pt idx="43">
                  <c:v>8503.5</c:v>
                </c:pt>
                <c:pt idx="44">
                  <c:v>8503.5</c:v>
                </c:pt>
                <c:pt idx="45">
                  <c:v>8503.5</c:v>
                </c:pt>
                <c:pt idx="46">
                  <c:v>8594.5</c:v>
                </c:pt>
                <c:pt idx="47">
                  <c:v>10727</c:v>
                </c:pt>
                <c:pt idx="48">
                  <c:v>10727</c:v>
                </c:pt>
                <c:pt idx="49">
                  <c:v>11430.5</c:v>
                </c:pt>
                <c:pt idx="50">
                  <c:v>11430.5</c:v>
                </c:pt>
                <c:pt idx="51">
                  <c:v>11430.5</c:v>
                </c:pt>
                <c:pt idx="52">
                  <c:v>11610</c:v>
                </c:pt>
                <c:pt idx="53">
                  <c:v>12112</c:v>
                </c:pt>
                <c:pt idx="54">
                  <c:v>12112</c:v>
                </c:pt>
                <c:pt idx="55">
                  <c:v>12112</c:v>
                </c:pt>
                <c:pt idx="56">
                  <c:v>12141.5</c:v>
                </c:pt>
                <c:pt idx="57">
                  <c:v>12315.5</c:v>
                </c:pt>
                <c:pt idx="58">
                  <c:v>12315.5</c:v>
                </c:pt>
                <c:pt idx="59">
                  <c:v>12946.5</c:v>
                </c:pt>
                <c:pt idx="60">
                  <c:v>13106</c:v>
                </c:pt>
                <c:pt idx="61">
                  <c:v>13116.5</c:v>
                </c:pt>
                <c:pt idx="62">
                  <c:v>13198</c:v>
                </c:pt>
                <c:pt idx="63">
                  <c:v>13759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B1-4731-A69F-5E8F0C52530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1.5E-3</c:v>
                  </c:pt>
                  <c:pt idx="63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1.5E-3</c:v>
                  </c:pt>
                  <c:pt idx="6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2333</c:v>
                </c:pt>
                <c:pt idx="31">
                  <c:v>2335.5</c:v>
                </c:pt>
                <c:pt idx="32">
                  <c:v>2513</c:v>
                </c:pt>
                <c:pt idx="33">
                  <c:v>3905</c:v>
                </c:pt>
                <c:pt idx="34">
                  <c:v>4706</c:v>
                </c:pt>
                <c:pt idx="35">
                  <c:v>5442</c:v>
                </c:pt>
                <c:pt idx="36">
                  <c:v>6118</c:v>
                </c:pt>
                <c:pt idx="37">
                  <c:v>6861.5</c:v>
                </c:pt>
                <c:pt idx="38">
                  <c:v>6861.5</c:v>
                </c:pt>
                <c:pt idx="39">
                  <c:v>7758</c:v>
                </c:pt>
                <c:pt idx="40">
                  <c:v>8470</c:v>
                </c:pt>
                <c:pt idx="41">
                  <c:v>8470</c:v>
                </c:pt>
                <c:pt idx="42">
                  <c:v>8470</c:v>
                </c:pt>
                <c:pt idx="43">
                  <c:v>8503.5</c:v>
                </c:pt>
                <c:pt idx="44">
                  <c:v>8503.5</c:v>
                </c:pt>
                <c:pt idx="45">
                  <c:v>8503.5</c:v>
                </c:pt>
                <c:pt idx="46">
                  <c:v>8594.5</c:v>
                </c:pt>
                <c:pt idx="47">
                  <c:v>10727</c:v>
                </c:pt>
                <c:pt idx="48">
                  <c:v>10727</c:v>
                </c:pt>
                <c:pt idx="49">
                  <c:v>11430.5</c:v>
                </c:pt>
                <c:pt idx="50">
                  <c:v>11430.5</c:v>
                </c:pt>
                <c:pt idx="51">
                  <c:v>11430.5</c:v>
                </c:pt>
                <c:pt idx="52">
                  <c:v>11610</c:v>
                </c:pt>
                <c:pt idx="53">
                  <c:v>12112</c:v>
                </c:pt>
                <c:pt idx="54">
                  <c:v>12112</c:v>
                </c:pt>
                <c:pt idx="55">
                  <c:v>12112</c:v>
                </c:pt>
                <c:pt idx="56">
                  <c:v>12141.5</c:v>
                </c:pt>
                <c:pt idx="57">
                  <c:v>12315.5</c:v>
                </c:pt>
                <c:pt idx="58">
                  <c:v>12315.5</c:v>
                </c:pt>
                <c:pt idx="59">
                  <c:v>12946.5</c:v>
                </c:pt>
                <c:pt idx="60">
                  <c:v>13106</c:v>
                </c:pt>
                <c:pt idx="61">
                  <c:v>13116.5</c:v>
                </c:pt>
                <c:pt idx="62">
                  <c:v>13198</c:v>
                </c:pt>
                <c:pt idx="63">
                  <c:v>13759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B1-4731-A69F-5E8F0C52530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1.5E-3</c:v>
                  </c:pt>
                  <c:pt idx="63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1.5E-3</c:v>
                  </c:pt>
                  <c:pt idx="6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2333</c:v>
                </c:pt>
                <c:pt idx="31">
                  <c:v>2335.5</c:v>
                </c:pt>
                <c:pt idx="32">
                  <c:v>2513</c:v>
                </c:pt>
                <c:pt idx="33">
                  <c:v>3905</c:v>
                </c:pt>
                <c:pt idx="34">
                  <c:v>4706</c:v>
                </c:pt>
                <c:pt idx="35">
                  <c:v>5442</c:v>
                </c:pt>
                <c:pt idx="36">
                  <c:v>6118</c:v>
                </c:pt>
                <c:pt idx="37">
                  <c:v>6861.5</c:v>
                </c:pt>
                <c:pt idx="38">
                  <c:v>6861.5</c:v>
                </c:pt>
                <c:pt idx="39">
                  <c:v>7758</c:v>
                </c:pt>
                <c:pt idx="40">
                  <c:v>8470</c:v>
                </c:pt>
                <c:pt idx="41">
                  <c:v>8470</c:v>
                </c:pt>
                <c:pt idx="42">
                  <c:v>8470</c:v>
                </c:pt>
                <c:pt idx="43">
                  <c:v>8503.5</c:v>
                </c:pt>
                <c:pt idx="44">
                  <c:v>8503.5</c:v>
                </c:pt>
                <c:pt idx="45">
                  <c:v>8503.5</c:v>
                </c:pt>
                <c:pt idx="46">
                  <c:v>8594.5</c:v>
                </c:pt>
                <c:pt idx="47">
                  <c:v>10727</c:v>
                </c:pt>
                <c:pt idx="48">
                  <c:v>10727</c:v>
                </c:pt>
                <c:pt idx="49">
                  <c:v>11430.5</c:v>
                </c:pt>
                <c:pt idx="50">
                  <c:v>11430.5</c:v>
                </c:pt>
                <c:pt idx="51">
                  <c:v>11430.5</c:v>
                </c:pt>
                <c:pt idx="52">
                  <c:v>11610</c:v>
                </c:pt>
                <c:pt idx="53">
                  <c:v>12112</c:v>
                </c:pt>
                <c:pt idx="54">
                  <c:v>12112</c:v>
                </c:pt>
                <c:pt idx="55">
                  <c:v>12112</c:v>
                </c:pt>
                <c:pt idx="56">
                  <c:v>12141.5</c:v>
                </c:pt>
                <c:pt idx="57">
                  <c:v>12315.5</c:v>
                </c:pt>
                <c:pt idx="58">
                  <c:v>12315.5</c:v>
                </c:pt>
                <c:pt idx="59">
                  <c:v>12946.5</c:v>
                </c:pt>
                <c:pt idx="60">
                  <c:v>13106</c:v>
                </c:pt>
                <c:pt idx="61">
                  <c:v>13116.5</c:v>
                </c:pt>
                <c:pt idx="62">
                  <c:v>13198</c:v>
                </c:pt>
                <c:pt idx="63">
                  <c:v>13759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B1-4731-A69F-5E8F0C52530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2333</c:v>
                </c:pt>
                <c:pt idx="31">
                  <c:v>2335.5</c:v>
                </c:pt>
                <c:pt idx="32">
                  <c:v>2513</c:v>
                </c:pt>
                <c:pt idx="33">
                  <c:v>3905</c:v>
                </c:pt>
                <c:pt idx="34">
                  <c:v>4706</c:v>
                </c:pt>
                <c:pt idx="35">
                  <c:v>5442</c:v>
                </c:pt>
                <c:pt idx="36">
                  <c:v>6118</c:v>
                </c:pt>
                <c:pt idx="37">
                  <c:v>6861.5</c:v>
                </c:pt>
                <c:pt idx="38">
                  <c:v>6861.5</c:v>
                </c:pt>
                <c:pt idx="39">
                  <c:v>7758</c:v>
                </c:pt>
                <c:pt idx="40">
                  <c:v>8470</c:v>
                </c:pt>
                <c:pt idx="41">
                  <c:v>8470</c:v>
                </c:pt>
                <c:pt idx="42">
                  <c:v>8470</c:v>
                </c:pt>
                <c:pt idx="43">
                  <c:v>8503.5</c:v>
                </c:pt>
                <c:pt idx="44">
                  <c:v>8503.5</c:v>
                </c:pt>
                <c:pt idx="45">
                  <c:v>8503.5</c:v>
                </c:pt>
                <c:pt idx="46">
                  <c:v>8594.5</c:v>
                </c:pt>
                <c:pt idx="47">
                  <c:v>10727</c:v>
                </c:pt>
                <c:pt idx="48">
                  <c:v>10727</c:v>
                </c:pt>
                <c:pt idx="49">
                  <c:v>11430.5</c:v>
                </c:pt>
                <c:pt idx="50">
                  <c:v>11430.5</c:v>
                </c:pt>
                <c:pt idx="51">
                  <c:v>11430.5</c:v>
                </c:pt>
                <c:pt idx="52">
                  <c:v>11610</c:v>
                </c:pt>
                <c:pt idx="53">
                  <c:v>12112</c:v>
                </c:pt>
                <c:pt idx="54">
                  <c:v>12112</c:v>
                </c:pt>
                <c:pt idx="55">
                  <c:v>12112</c:v>
                </c:pt>
                <c:pt idx="56">
                  <c:v>12141.5</c:v>
                </c:pt>
                <c:pt idx="57">
                  <c:v>12315.5</c:v>
                </c:pt>
                <c:pt idx="58">
                  <c:v>12315.5</c:v>
                </c:pt>
                <c:pt idx="59">
                  <c:v>12946.5</c:v>
                </c:pt>
                <c:pt idx="60">
                  <c:v>13106</c:v>
                </c:pt>
                <c:pt idx="61">
                  <c:v>13116.5</c:v>
                </c:pt>
                <c:pt idx="62">
                  <c:v>13198</c:v>
                </c:pt>
                <c:pt idx="63">
                  <c:v>13759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4.24919590980792E-2</c:v>
                </c:pt>
                <c:pt idx="1">
                  <c:v>3.2035021206821022E-2</c:v>
                </c:pt>
                <c:pt idx="2">
                  <c:v>3.1451310377564989E-2</c:v>
                </c:pt>
                <c:pt idx="3">
                  <c:v>2.8232846987869448E-2</c:v>
                </c:pt>
                <c:pt idx="4">
                  <c:v>2.8219807455547041E-2</c:v>
                </c:pt>
                <c:pt idx="5">
                  <c:v>2.8203699797972298E-2</c:v>
                </c:pt>
                <c:pt idx="6">
                  <c:v>2.726485347075892E-2</c:v>
                </c:pt>
                <c:pt idx="7">
                  <c:v>2.7126020803090928E-2</c:v>
                </c:pt>
                <c:pt idx="8">
                  <c:v>2.7122952677838597E-2</c:v>
                </c:pt>
                <c:pt idx="9">
                  <c:v>2.6254673231428837E-2</c:v>
                </c:pt>
                <c:pt idx="10">
                  <c:v>2.6254673231428837E-2</c:v>
                </c:pt>
                <c:pt idx="11">
                  <c:v>2.3877643192185157E-2</c:v>
                </c:pt>
                <c:pt idx="12">
                  <c:v>1.7890963793573692E-2</c:v>
                </c:pt>
                <c:pt idx="13">
                  <c:v>1.7878691292564367E-2</c:v>
                </c:pt>
                <c:pt idx="14">
                  <c:v>1.7874856135998953E-2</c:v>
                </c:pt>
                <c:pt idx="15">
                  <c:v>1.4400204287733748E-2</c:v>
                </c:pt>
                <c:pt idx="16">
                  <c:v>1.4394068037229086E-2</c:v>
                </c:pt>
                <c:pt idx="17">
                  <c:v>1.4390999911976754E-2</c:v>
                </c:pt>
                <c:pt idx="18">
                  <c:v>1.4361852722079606E-2</c:v>
                </c:pt>
                <c:pt idx="19">
                  <c:v>1.4351881315009529E-2</c:v>
                </c:pt>
                <c:pt idx="20">
                  <c:v>1.4348813189757198E-2</c:v>
                </c:pt>
                <c:pt idx="21">
                  <c:v>1.4345745064504867E-2</c:v>
                </c:pt>
                <c:pt idx="22">
                  <c:v>1.4342676939252536E-2</c:v>
                </c:pt>
                <c:pt idx="23">
                  <c:v>1.4300490217032981E-2</c:v>
                </c:pt>
                <c:pt idx="24">
                  <c:v>1.4184668488757473E-2</c:v>
                </c:pt>
                <c:pt idx="25">
                  <c:v>1.320440247063762E-2</c:v>
                </c:pt>
                <c:pt idx="26">
                  <c:v>1.2988866671661346E-2</c:v>
                </c:pt>
                <c:pt idx="27">
                  <c:v>1.2068429095961954E-2</c:v>
                </c:pt>
                <c:pt idx="28">
                  <c:v>1.2031611592933977E-2</c:v>
                </c:pt>
                <c:pt idx="29">
                  <c:v>1.0705414452613769E-2</c:v>
                </c:pt>
                <c:pt idx="30">
                  <c:v>9.5893838920782567E-3</c:v>
                </c:pt>
                <c:pt idx="31">
                  <c:v>9.5855487355128426E-3</c:v>
                </c:pt>
                <c:pt idx="32">
                  <c:v>9.3132526193684395E-3</c:v>
                </c:pt>
                <c:pt idx="33">
                  <c:v>7.1778374437458494E-3</c:v>
                </c:pt>
                <c:pt idx="34">
                  <c:v>5.949053280187161E-3</c:v>
                </c:pt>
                <c:pt idx="35">
                  <c:v>4.8199831873292388E-3</c:v>
                </c:pt>
                <c:pt idx="36">
                  <c:v>3.7829568520412575E-3</c:v>
                </c:pt>
                <c:pt idx="37">
                  <c:v>2.6423812894870932E-3</c:v>
                </c:pt>
                <c:pt idx="38">
                  <c:v>2.6423812894870932E-3</c:v>
                </c:pt>
                <c:pt idx="39">
                  <c:v>1.2670941451295853E-3</c:v>
                </c:pt>
                <c:pt idx="40">
                  <c:v>1.7484155529963984E-4</c:v>
                </c:pt>
                <c:pt idx="41">
                  <c:v>1.7484155529963984E-4</c:v>
                </c:pt>
                <c:pt idx="42">
                  <c:v>1.7484155529963984E-4</c:v>
                </c:pt>
                <c:pt idx="43">
                  <c:v>1.2345045732308976E-4</c:v>
                </c:pt>
                <c:pt idx="44">
                  <c:v>1.2345045732308976E-4</c:v>
                </c:pt>
                <c:pt idx="45">
                  <c:v>1.2345045732308976E-4</c:v>
                </c:pt>
                <c:pt idx="46">
                  <c:v>-1.6149241657983579E-5</c:v>
                </c:pt>
                <c:pt idx="47">
                  <c:v>-3.2875377919562403E-3</c:v>
                </c:pt>
                <c:pt idx="48">
                  <c:v>-3.2875377919562403E-3</c:v>
                </c:pt>
                <c:pt idx="49">
                  <c:v>-4.3667508494637797E-3</c:v>
                </c:pt>
                <c:pt idx="50">
                  <c:v>-4.3667508494637797E-3</c:v>
                </c:pt>
                <c:pt idx="51">
                  <c:v>-4.3667508494637797E-3</c:v>
                </c:pt>
                <c:pt idx="52">
                  <c:v>-4.6421150908605123E-3</c:v>
                </c:pt>
                <c:pt idx="53">
                  <c:v>-5.4122145291956719E-3</c:v>
                </c:pt>
                <c:pt idx="54">
                  <c:v>-5.4122145291956719E-3</c:v>
                </c:pt>
                <c:pt idx="55">
                  <c:v>-5.4122145291956719E-3</c:v>
                </c:pt>
                <c:pt idx="56">
                  <c:v>-5.4574693766675578E-3</c:v>
                </c:pt>
                <c:pt idx="57">
                  <c:v>-5.7243962736203829E-3</c:v>
                </c:pt>
                <c:pt idx="58">
                  <c:v>-5.7243962736203829E-3</c:v>
                </c:pt>
                <c:pt idx="59">
                  <c:v>-6.6923897907309113E-3</c:v>
                </c:pt>
                <c:pt idx="60">
                  <c:v>-6.9370727796043315E-3</c:v>
                </c:pt>
                <c:pt idx="61">
                  <c:v>-6.9531804371790705E-3</c:v>
                </c:pt>
                <c:pt idx="62">
                  <c:v>-7.0782065412115722E-3</c:v>
                </c:pt>
                <c:pt idx="63">
                  <c:v>-7.9388156744905035E-3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B1-4731-A69F-5E8F0C52530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26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AB6-47C8-90B3-B935CE9CABAD}"/>
              </c:ext>
            </c:extLst>
          </c:dPt>
          <c:xVal>
            <c:numRef>
              <c:f>Active!$F$21:$F$993</c:f>
              <c:numCache>
                <c:formatCode>General</c:formatCode>
                <c:ptCount val="973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2333</c:v>
                </c:pt>
                <c:pt idx="31">
                  <c:v>2335.5</c:v>
                </c:pt>
                <c:pt idx="32">
                  <c:v>2513</c:v>
                </c:pt>
                <c:pt idx="33">
                  <c:v>3905</c:v>
                </c:pt>
                <c:pt idx="34">
                  <c:v>4706</c:v>
                </c:pt>
                <c:pt idx="35">
                  <c:v>5442</c:v>
                </c:pt>
                <c:pt idx="36">
                  <c:v>6118</c:v>
                </c:pt>
                <c:pt idx="37">
                  <c:v>6861.5</c:v>
                </c:pt>
                <c:pt idx="38">
                  <c:v>6861.5</c:v>
                </c:pt>
                <c:pt idx="39">
                  <c:v>7758</c:v>
                </c:pt>
                <c:pt idx="40">
                  <c:v>8470</c:v>
                </c:pt>
                <c:pt idx="41">
                  <c:v>8470</c:v>
                </c:pt>
                <c:pt idx="42">
                  <c:v>8470</c:v>
                </c:pt>
                <c:pt idx="43">
                  <c:v>8503.5</c:v>
                </c:pt>
                <c:pt idx="44">
                  <c:v>8503.5</c:v>
                </c:pt>
                <c:pt idx="45">
                  <c:v>8503.5</c:v>
                </c:pt>
                <c:pt idx="46">
                  <c:v>8594.5</c:v>
                </c:pt>
                <c:pt idx="47">
                  <c:v>10727</c:v>
                </c:pt>
                <c:pt idx="48">
                  <c:v>10727</c:v>
                </c:pt>
                <c:pt idx="49">
                  <c:v>11430.5</c:v>
                </c:pt>
                <c:pt idx="50">
                  <c:v>11430.5</c:v>
                </c:pt>
                <c:pt idx="51">
                  <c:v>11430.5</c:v>
                </c:pt>
                <c:pt idx="52">
                  <c:v>11610</c:v>
                </c:pt>
                <c:pt idx="53">
                  <c:v>12112</c:v>
                </c:pt>
                <c:pt idx="54">
                  <c:v>12112</c:v>
                </c:pt>
                <c:pt idx="55">
                  <c:v>12112</c:v>
                </c:pt>
                <c:pt idx="56">
                  <c:v>12141.5</c:v>
                </c:pt>
                <c:pt idx="57">
                  <c:v>12315.5</c:v>
                </c:pt>
                <c:pt idx="58">
                  <c:v>12315.5</c:v>
                </c:pt>
                <c:pt idx="59">
                  <c:v>12946.5</c:v>
                </c:pt>
                <c:pt idx="60">
                  <c:v>13106</c:v>
                </c:pt>
                <c:pt idx="61">
                  <c:v>13116.5</c:v>
                </c:pt>
                <c:pt idx="62">
                  <c:v>13198</c:v>
                </c:pt>
                <c:pt idx="63">
                  <c:v>13759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9">
                  <c:v>-0.11327799999708077</c:v>
                </c:pt>
                <c:pt idx="26">
                  <c:v>-4.2067999995197169E-2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B1-4731-A69F-5E8F0C525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650600"/>
        <c:axId val="1"/>
      </c:scatterChart>
      <c:valAx>
        <c:axId val="7106506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0889038708610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150536115720959E-2"/>
              <c:y val="0.368902951548234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650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09225361369409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Psc - O-C Diagr.</a:t>
            </a:r>
          </a:p>
        </c:rich>
      </c:tx>
      <c:layout>
        <c:manualLayout>
          <c:xMode val="edge"/>
          <c:yMode val="edge"/>
          <c:x val="0.37741935483870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2333</c:v>
                </c:pt>
                <c:pt idx="31">
                  <c:v>2335.5</c:v>
                </c:pt>
                <c:pt idx="32">
                  <c:v>2513</c:v>
                </c:pt>
                <c:pt idx="33">
                  <c:v>3905</c:v>
                </c:pt>
                <c:pt idx="34">
                  <c:v>4706</c:v>
                </c:pt>
                <c:pt idx="35">
                  <c:v>5442</c:v>
                </c:pt>
                <c:pt idx="36">
                  <c:v>6118</c:v>
                </c:pt>
                <c:pt idx="37">
                  <c:v>6861.5</c:v>
                </c:pt>
                <c:pt idx="38">
                  <c:v>6861.5</c:v>
                </c:pt>
                <c:pt idx="39">
                  <c:v>7758</c:v>
                </c:pt>
                <c:pt idx="40">
                  <c:v>8470</c:v>
                </c:pt>
                <c:pt idx="41">
                  <c:v>8470</c:v>
                </c:pt>
                <c:pt idx="42">
                  <c:v>8470</c:v>
                </c:pt>
                <c:pt idx="43">
                  <c:v>8503.5</c:v>
                </c:pt>
                <c:pt idx="44">
                  <c:v>8503.5</c:v>
                </c:pt>
                <c:pt idx="45">
                  <c:v>8503.5</c:v>
                </c:pt>
                <c:pt idx="46">
                  <c:v>8594.5</c:v>
                </c:pt>
                <c:pt idx="47">
                  <c:v>10727</c:v>
                </c:pt>
                <c:pt idx="48">
                  <c:v>10727</c:v>
                </c:pt>
                <c:pt idx="49">
                  <c:v>11430.5</c:v>
                </c:pt>
                <c:pt idx="50">
                  <c:v>11430.5</c:v>
                </c:pt>
                <c:pt idx="51">
                  <c:v>11430.5</c:v>
                </c:pt>
                <c:pt idx="52">
                  <c:v>11610</c:v>
                </c:pt>
                <c:pt idx="53">
                  <c:v>12112</c:v>
                </c:pt>
                <c:pt idx="54">
                  <c:v>12112</c:v>
                </c:pt>
                <c:pt idx="55">
                  <c:v>12112</c:v>
                </c:pt>
                <c:pt idx="56">
                  <c:v>12141.5</c:v>
                </c:pt>
                <c:pt idx="57">
                  <c:v>12315.5</c:v>
                </c:pt>
                <c:pt idx="58">
                  <c:v>12315.5</c:v>
                </c:pt>
                <c:pt idx="59">
                  <c:v>12946.5</c:v>
                </c:pt>
                <c:pt idx="60">
                  <c:v>13106</c:v>
                </c:pt>
                <c:pt idx="61">
                  <c:v>13116.5</c:v>
                </c:pt>
                <c:pt idx="62">
                  <c:v>13198</c:v>
                </c:pt>
                <c:pt idx="63">
                  <c:v>13759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F4-464A-8A21-2735F3DF24C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1.5E-3</c:v>
                  </c:pt>
                  <c:pt idx="63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1.5E-3</c:v>
                  </c:pt>
                  <c:pt idx="6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2333</c:v>
                </c:pt>
                <c:pt idx="31">
                  <c:v>2335.5</c:v>
                </c:pt>
                <c:pt idx="32">
                  <c:v>2513</c:v>
                </c:pt>
                <c:pt idx="33">
                  <c:v>3905</c:v>
                </c:pt>
                <c:pt idx="34">
                  <c:v>4706</c:v>
                </c:pt>
                <c:pt idx="35">
                  <c:v>5442</c:v>
                </c:pt>
                <c:pt idx="36">
                  <c:v>6118</c:v>
                </c:pt>
                <c:pt idx="37">
                  <c:v>6861.5</c:v>
                </c:pt>
                <c:pt idx="38">
                  <c:v>6861.5</c:v>
                </c:pt>
                <c:pt idx="39">
                  <c:v>7758</c:v>
                </c:pt>
                <c:pt idx="40">
                  <c:v>8470</c:v>
                </c:pt>
                <c:pt idx="41">
                  <c:v>8470</c:v>
                </c:pt>
                <c:pt idx="42">
                  <c:v>8470</c:v>
                </c:pt>
                <c:pt idx="43">
                  <c:v>8503.5</c:v>
                </c:pt>
                <c:pt idx="44">
                  <c:v>8503.5</c:v>
                </c:pt>
                <c:pt idx="45">
                  <c:v>8503.5</c:v>
                </c:pt>
                <c:pt idx="46">
                  <c:v>8594.5</c:v>
                </c:pt>
                <c:pt idx="47">
                  <c:v>10727</c:v>
                </c:pt>
                <c:pt idx="48">
                  <c:v>10727</c:v>
                </c:pt>
                <c:pt idx="49">
                  <c:v>11430.5</c:v>
                </c:pt>
                <c:pt idx="50">
                  <c:v>11430.5</c:v>
                </c:pt>
                <c:pt idx="51">
                  <c:v>11430.5</c:v>
                </c:pt>
                <c:pt idx="52">
                  <c:v>11610</c:v>
                </c:pt>
                <c:pt idx="53">
                  <c:v>12112</c:v>
                </c:pt>
                <c:pt idx="54">
                  <c:v>12112</c:v>
                </c:pt>
                <c:pt idx="55">
                  <c:v>12112</c:v>
                </c:pt>
                <c:pt idx="56">
                  <c:v>12141.5</c:v>
                </c:pt>
                <c:pt idx="57">
                  <c:v>12315.5</c:v>
                </c:pt>
                <c:pt idx="58">
                  <c:v>12315.5</c:v>
                </c:pt>
                <c:pt idx="59">
                  <c:v>12946.5</c:v>
                </c:pt>
                <c:pt idx="60">
                  <c:v>13106</c:v>
                </c:pt>
                <c:pt idx="61">
                  <c:v>13116.5</c:v>
                </c:pt>
                <c:pt idx="62">
                  <c:v>13198</c:v>
                </c:pt>
                <c:pt idx="63">
                  <c:v>13759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F4-464A-8A21-2735F3DF24C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1.5E-3</c:v>
                  </c:pt>
                  <c:pt idx="63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1.5E-3</c:v>
                  </c:pt>
                  <c:pt idx="6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2333</c:v>
                </c:pt>
                <c:pt idx="31">
                  <c:v>2335.5</c:v>
                </c:pt>
                <c:pt idx="32">
                  <c:v>2513</c:v>
                </c:pt>
                <c:pt idx="33">
                  <c:v>3905</c:v>
                </c:pt>
                <c:pt idx="34">
                  <c:v>4706</c:v>
                </c:pt>
                <c:pt idx="35">
                  <c:v>5442</c:v>
                </c:pt>
                <c:pt idx="36">
                  <c:v>6118</c:v>
                </c:pt>
                <c:pt idx="37">
                  <c:v>6861.5</c:v>
                </c:pt>
                <c:pt idx="38">
                  <c:v>6861.5</c:v>
                </c:pt>
                <c:pt idx="39">
                  <c:v>7758</c:v>
                </c:pt>
                <c:pt idx="40">
                  <c:v>8470</c:v>
                </c:pt>
                <c:pt idx="41">
                  <c:v>8470</c:v>
                </c:pt>
                <c:pt idx="42">
                  <c:v>8470</c:v>
                </c:pt>
                <c:pt idx="43">
                  <c:v>8503.5</c:v>
                </c:pt>
                <c:pt idx="44">
                  <c:v>8503.5</c:v>
                </c:pt>
                <c:pt idx="45">
                  <c:v>8503.5</c:v>
                </c:pt>
                <c:pt idx="46">
                  <c:v>8594.5</c:v>
                </c:pt>
                <c:pt idx="47">
                  <c:v>10727</c:v>
                </c:pt>
                <c:pt idx="48">
                  <c:v>10727</c:v>
                </c:pt>
                <c:pt idx="49">
                  <c:v>11430.5</c:v>
                </c:pt>
                <c:pt idx="50">
                  <c:v>11430.5</c:v>
                </c:pt>
                <c:pt idx="51">
                  <c:v>11430.5</c:v>
                </c:pt>
                <c:pt idx="52">
                  <c:v>11610</c:v>
                </c:pt>
                <c:pt idx="53">
                  <c:v>12112</c:v>
                </c:pt>
                <c:pt idx="54">
                  <c:v>12112</c:v>
                </c:pt>
                <c:pt idx="55">
                  <c:v>12112</c:v>
                </c:pt>
                <c:pt idx="56">
                  <c:v>12141.5</c:v>
                </c:pt>
                <c:pt idx="57">
                  <c:v>12315.5</c:v>
                </c:pt>
                <c:pt idx="58">
                  <c:v>12315.5</c:v>
                </c:pt>
                <c:pt idx="59">
                  <c:v>12946.5</c:v>
                </c:pt>
                <c:pt idx="60">
                  <c:v>13106</c:v>
                </c:pt>
                <c:pt idx="61">
                  <c:v>13116.5</c:v>
                </c:pt>
                <c:pt idx="62">
                  <c:v>13198</c:v>
                </c:pt>
                <c:pt idx="63">
                  <c:v>13759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-7.6539999994565733E-2</c:v>
                </c:pt>
                <c:pt idx="6">
                  <c:v>-6.5944000001763925E-2</c:v>
                </c:pt>
                <c:pt idx="7">
                  <c:v>-6.3505999998596963E-2</c:v>
                </c:pt>
                <c:pt idx="8">
                  <c:v>-6.4013999995950144E-2</c:v>
                </c:pt>
                <c:pt idx="10">
                  <c:v>-5.7877999992342666E-2</c:v>
                </c:pt>
                <c:pt idx="13">
                  <c:v>-1.6717999991669785E-2</c:v>
                </c:pt>
                <c:pt idx="25">
                  <c:v>1.0940000065602362E-3</c:v>
                </c:pt>
                <c:pt idx="29">
                  <c:v>4.8780000070109963E-3</c:v>
                </c:pt>
                <c:pt idx="30">
                  <c:v>3.8680000070598908E-3</c:v>
                </c:pt>
                <c:pt idx="31">
                  <c:v>9.1580000007525086E-3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F4-464A-8A21-2735F3DF24C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1.5E-3</c:v>
                  </c:pt>
                  <c:pt idx="63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1.5E-3</c:v>
                  </c:pt>
                  <c:pt idx="6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2333</c:v>
                </c:pt>
                <c:pt idx="31">
                  <c:v>2335.5</c:v>
                </c:pt>
                <c:pt idx="32">
                  <c:v>2513</c:v>
                </c:pt>
                <c:pt idx="33">
                  <c:v>3905</c:v>
                </c:pt>
                <c:pt idx="34">
                  <c:v>4706</c:v>
                </c:pt>
                <c:pt idx="35">
                  <c:v>5442</c:v>
                </c:pt>
                <c:pt idx="36">
                  <c:v>6118</c:v>
                </c:pt>
                <c:pt idx="37">
                  <c:v>6861.5</c:v>
                </c:pt>
                <c:pt idx="38">
                  <c:v>6861.5</c:v>
                </c:pt>
                <c:pt idx="39">
                  <c:v>7758</c:v>
                </c:pt>
                <c:pt idx="40">
                  <c:v>8470</c:v>
                </c:pt>
                <c:pt idx="41">
                  <c:v>8470</c:v>
                </c:pt>
                <c:pt idx="42">
                  <c:v>8470</c:v>
                </c:pt>
                <c:pt idx="43">
                  <c:v>8503.5</c:v>
                </c:pt>
                <c:pt idx="44">
                  <c:v>8503.5</c:v>
                </c:pt>
                <c:pt idx="45">
                  <c:v>8503.5</c:v>
                </c:pt>
                <c:pt idx="46">
                  <c:v>8594.5</c:v>
                </c:pt>
                <c:pt idx="47">
                  <c:v>10727</c:v>
                </c:pt>
                <c:pt idx="48">
                  <c:v>10727</c:v>
                </c:pt>
                <c:pt idx="49">
                  <c:v>11430.5</c:v>
                </c:pt>
                <c:pt idx="50">
                  <c:v>11430.5</c:v>
                </c:pt>
                <c:pt idx="51">
                  <c:v>11430.5</c:v>
                </c:pt>
                <c:pt idx="52">
                  <c:v>11610</c:v>
                </c:pt>
                <c:pt idx="53">
                  <c:v>12112</c:v>
                </c:pt>
                <c:pt idx="54">
                  <c:v>12112</c:v>
                </c:pt>
                <c:pt idx="55">
                  <c:v>12112</c:v>
                </c:pt>
                <c:pt idx="56">
                  <c:v>12141.5</c:v>
                </c:pt>
                <c:pt idx="57">
                  <c:v>12315.5</c:v>
                </c:pt>
                <c:pt idx="58">
                  <c:v>12315.5</c:v>
                </c:pt>
                <c:pt idx="59">
                  <c:v>12946.5</c:v>
                </c:pt>
                <c:pt idx="60">
                  <c:v>13106</c:v>
                </c:pt>
                <c:pt idx="61">
                  <c:v>13116.5</c:v>
                </c:pt>
                <c:pt idx="62">
                  <c:v>13198</c:v>
                </c:pt>
                <c:pt idx="63">
                  <c:v>13759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-6.9305999997595791E-2</c:v>
                </c:pt>
                <c:pt idx="2">
                  <c:v>-0.1076279999979306</c:v>
                </c:pt>
                <c:pt idx="3">
                  <c:v>-6.3820000003033783E-2</c:v>
                </c:pt>
                <c:pt idx="4">
                  <c:v>-6.7453999996359926E-2</c:v>
                </c:pt>
                <c:pt idx="5">
                  <c:v>-6.729599999380298E-2</c:v>
                </c:pt>
                <c:pt idx="11">
                  <c:v>-5.2575999994587619E-2</c:v>
                </c:pt>
                <c:pt idx="12">
                  <c:v>-2.0386000003782101E-2</c:v>
                </c:pt>
                <c:pt idx="14">
                  <c:v>-1.7127999999502208E-2</c:v>
                </c:pt>
                <c:pt idx="15">
                  <c:v>2.3120000041672029E-3</c:v>
                </c:pt>
                <c:pt idx="16">
                  <c:v>2.0960000038030557E-3</c:v>
                </c:pt>
                <c:pt idx="17">
                  <c:v>1.1880000020028092E-3</c:v>
                </c:pt>
                <c:pt idx="18">
                  <c:v>1.3120000076014549E-3</c:v>
                </c:pt>
                <c:pt idx="19">
                  <c:v>-3.1399999716086313E-4</c:v>
                </c:pt>
                <c:pt idx="20">
                  <c:v>2.8779999993275851E-3</c:v>
                </c:pt>
                <c:pt idx="21">
                  <c:v>4.1700000001583248E-3</c:v>
                </c:pt>
                <c:pt idx="22">
                  <c:v>2.4620000040158629E-3</c:v>
                </c:pt>
                <c:pt idx="23">
                  <c:v>1.3520000065909699E-3</c:v>
                </c:pt>
                <c:pt idx="24">
                  <c:v>1.0500000062165782E-3</c:v>
                </c:pt>
                <c:pt idx="27">
                  <c:v>5.1319999984116293E-3</c:v>
                </c:pt>
                <c:pt idx="28">
                  <c:v>4.6360000051208772E-3</c:v>
                </c:pt>
                <c:pt idx="32">
                  <c:v>6.5480000048410147E-3</c:v>
                </c:pt>
                <c:pt idx="33">
                  <c:v>-2.1999999444233254E-4</c:v>
                </c:pt>
                <c:pt idx="34">
                  <c:v>4.5759999993606471E-3</c:v>
                </c:pt>
                <c:pt idx="35">
                  <c:v>3.7320000046747737E-3</c:v>
                </c:pt>
                <c:pt idx="36">
                  <c:v>5.1979999989271164E-3</c:v>
                </c:pt>
                <c:pt idx="37">
                  <c:v>4.4539998343680054E-3</c:v>
                </c:pt>
                <c:pt idx="38">
                  <c:v>4.4540000017150305E-3</c:v>
                </c:pt>
                <c:pt idx="39">
                  <c:v>6.5680000043357722E-3</c:v>
                </c:pt>
                <c:pt idx="40">
                  <c:v>4.0200000075856224E-3</c:v>
                </c:pt>
                <c:pt idx="41">
                  <c:v>6.1200000054668635E-3</c:v>
                </c:pt>
                <c:pt idx="42">
                  <c:v>6.4200000051641837E-3</c:v>
                </c:pt>
                <c:pt idx="43">
                  <c:v>3.1860000017331913E-3</c:v>
                </c:pt>
                <c:pt idx="44">
                  <c:v>3.5860000061802566E-3</c:v>
                </c:pt>
                <c:pt idx="45">
                  <c:v>4.6860000002197921E-3</c:v>
                </c:pt>
                <c:pt idx="46">
                  <c:v>3.7220000012894161E-3</c:v>
                </c:pt>
                <c:pt idx="47">
                  <c:v>-6.0800000210292637E-4</c:v>
                </c:pt>
                <c:pt idx="48">
                  <c:v>-6.0800000210292637E-4</c:v>
                </c:pt>
                <c:pt idx="49">
                  <c:v>-2.6219999926979654E-3</c:v>
                </c:pt>
                <c:pt idx="50">
                  <c:v>-2.6219999926979654E-3</c:v>
                </c:pt>
                <c:pt idx="51">
                  <c:v>3.3780000012484379E-3</c:v>
                </c:pt>
                <c:pt idx="52">
                  <c:v>-3.2399999981862493E-3</c:v>
                </c:pt>
                <c:pt idx="53">
                  <c:v>-6.7479999052011408E-3</c:v>
                </c:pt>
                <c:pt idx="54">
                  <c:v>-4.7480000430368818E-3</c:v>
                </c:pt>
                <c:pt idx="55">
                  <c:v>-3.7479998791241087E-3</c:v>
                </c:pt>
                <c:pt idx="56">
                  <c:v>-2.9660000873263925E-3</c:v>
                </c:pt>
                <c:pt idx="57">
                  <c:v>-5.3620000180671923E-3</c:v>
                </c:pt>
                <c:pt idx="58">
                  <c:v>-4.6619998101959936E-3</c:v>
                </c:pt>
                <c:pt idx="59">
                  <c:v>-1.008599998021964E-2</c:v>
                </c:pt>
                <c:pt idx="60">
                  <c:v>-1.4924000162864104E-2</c:v>
                </c:pt>
                <c:pt idx="61">
                  <c:v>-1.4066000003367662E-2</c:v>
                </c:pt>
                <c:pt idx="62">
                  <c:v>-1.4291999992565252E-2</c:v>
                </c:pt>
                <c:pt idx="63">
                  <c:v>-2.1736000002420042E-2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F4-464A-8A21-2735F3DF24C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1.5E-3</c:v>
                  </c:pt>
                  <c:pt idx="63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1.5E-3</c:v>
                  </c:pt>
                  <c:pt idx="6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2333</c:v>
                </c:pt>
                <c:pt idx="31">
                  <c:v>2335.5</c:v>
                </c:pt>
                <c:pt idx="32">
                  <c:v>2513</c:v>
                </c:pt>
                <c:pt idx="33">
                  <c:v>3905</c:v>
                </c:pt>
                <c:pt idx="34">
                  <c:v>4706</c:v>
                </c:pt>
                <c:pt idx="35">
                  <c:v>5442</c:v>
                </c:pt>
                <c:pt idx="36">
                  <c:v>6118</c:v>
                </c:pt>
                <c:pt idx="37">
                  <c:v>6861.5</c:v>
                </c:pt>
                <c:pt idx="38">
                  <c:v>6861.5</c:v>
                </c:pt>
                <c:pt idx="39">
                  <c:v>7758</c:v>
                </c:pt>
                <c:pt idx="40">
                  <c:v>8470</c:v>
                </c:pt>
                <c:pt idx="41">
                  <c:v>8470</c:v>
                </c:pt>
                <c:pt idx="42">
                  <c:v>8470</c:v>
                </c:pt>
                <c:pt idx="43">
                  <c:v>8503.5</c:v>
                </c:pt>
                <c:pt idx="44">
                  <c:v>8503.5</c:v>
                </c:pt>
                <c:pt idx="45">
                  <c:v>8503.5</c:v>
                </c:pt>
                <c:pt idx="46">
                  <c:v>8594.5</c:v>
                </c:pt>
                <c:pt idx="47">
                  <c:v>10727</c:v>
                </c:pt>
                <c:pt idx="48">
                  <c:v>10727</c:v>
                </c:pt>
                <c:pt idx="49">
                  <c:v>11430.5</c:v>
                </c:pt>
                <c:pt idx="50">
                  <c:v>11430.5</c:v>
                </c:pt>
                <c:pt idx="51">
                  <c:v>11430.5</c:v>
                </c:pt>
                <c:pt idx="52">
                  <c:v>11610</c:v>
                </c:pt>
                <c:pt idx="53">
                  <c:v>12112</c:v>
                </c:pt>
                <c:pt idx="54">
                  <c:v>12112</c:v>
                </c:pt>
                <c:pt idx="55">
                  <c:v>12112</c:v>
                </c:pt>
                <c:pt idx="56">
                  <c:v>12141.5</c:v>
                </c:pt>
                <c:pt idx="57">
                  <c:v>12315.5</c:v>
                </c:pt>
                <c:pt idx="58">
                  <c:v>12315.5</c:v>
                </c:pt>
                <c:pt idx="59">
                  <c:v>12946.5</c:v>
                </c:pt>
                <c:pt idx="60">
                  <c:v>13106</c:v>
                </c:pt>
                <c:pt idx="61">
                  <c:v>13116.5</c:v>
                </c:pt>
                <c:pt idx="62">
                  <c:v>13198</c:v>
                </c:pt>
                <c:pt idx="63">
                  <c:v>13759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F4-464A-8A21-2735F3DF24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1.5E-3</c:v>
                  </c:pt>
                  <c:pt idx="63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1.5E-3</c:v>
                  </c:pt>
                  <c:pt idx="6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2333</c:v>
                </c:pt>
                <c:pt idx="31">
                  <c:v>2335.5</c:v>
                </c:pt>
                <c:pt idx="32">
                  <c:v>2513</c:v>
                </c:pt>
                <c:pt idx="33">
                  <c:v>3905</c:v>
                </c:pt>
                <c:pt idx="34">
                  <c:v>4706</c:v>
                </c:pt>
                <c:pt idx="35">
                  <c:v>5442</c:v>
                </c:pt>
                <c:pt idx="36">
                  <c:v>6118</c:v>
                </c:pt>
                <c:pt idx="37">
                  <c:v>6861.5</c:v>
                </c:pt>
                <c:pt idx="38">
                  <c:v>6861.5</c:v>
                </c:pt>
                <c:pt idx="39">
                  <c:v>7758</c:v>
                </c:pt>
                <c:pt idx="40">
                  <c:v>8470</c:v>
                </c:pt>
                <c:pt idx="41">
                  <c:v>8470</c:v>
                </c:pt>
                <c:pt idx="42">
                  <c:v>8470</c:v>
                </c:pt>
                <c:pt idx="43">
                  <c:v>8503.5</c:v>
                </c:pt>
                <c:pt idx="44">
                  <c:v>8503.5</c:v>
                </c:pt>
                <c:pt idx="45">
                  <c:v>8503.5</c:v>
                </c:pt>
                <c:pt idx="46">
                  <c:v>8594.5</c:v>
                </c:pt>
                <c:pt idx="47">
                  <c:v>10727</c:v>
                </c:pt>
                <c:pt idx="48">
                  <c:v>10727</c:v>
                </c:pt>
                <c:pt idx="49">
                  <c:v>11430.5</c:v>
                </c:pt>
                <c:pt idx="50">
                  <c:v>11430.5</c:v>
                </c:pt>
                <c:pt idx="51">
                  <c:v>11430.5</c:v>
                </c:pt>
                <c:pt idx="52">
                  <c:v>11610</c:v>
                </c:pt>
                <c:pt idx="53">
                  <c:v>12112</c:v>
                </c:pt>
                <c:pt idx="54">
                  <c:v>12112</c:v>
                </c:pt>
                <c:pt idx="55">
                  <c:v>12112</c:v>
                </c:pt>
                <c:pt idx="56">
                  <c:v>12141.5</c:v>
                </c:pt>
                <c:pt idx="57">
                  <c:v>12315.5</c:v>
                </c:pt>
                <c:pt idx="58">
                  <c:v>12315.5</c:v>
                </c:pt>
                <c:pt idx="59">
                  <c:v>12946.5</c:v>
                </c:pt>
                <c:pt idx="60">
                  <c:v>13106</c:v>
                </c:pt>
                <c:pt idx="61">
                  <c:v>13116.5</c:v>
                </c:pt>
                <c:pt idx="62">
                  <c:v>13198</c:v>
                </c:pt>
                <c:pt idx="63">
                  <c:v>13759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F4-464A-8A21-2735F3DF24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1.5E-3</c:v>
                  </c:pt>
                  <c:pt idx="63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6">
                    <c:v>1E-3</c:v>
                  </c:pt>
                  <c:pt idx="7">
                    <c:v>1.1000000000000001E-3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5.9999999999999995E-4</c:v>
                  </c:pt>
                  <c:pt idx="12">
                    <c:v>1.6000000000000001E-3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6.9999999999999999E-4</c:v>
                  </c:pt>
                  <c:pt idx="16">
                    <c:v>8.9999999999999998E-4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0">
                    <c:v>8.9999999999999998E-4</c:v>
                  </c:pt>
                  <c:pt idx="21">
                    <c:v>1.1000000000000001E-3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5.9999999999999995E-4</c:v>
                  </c:pt>
                  <c:pt idx="27">
                    <c:v>5.9999999999999995E-4</c:v>
                  </c:pt>
                  <c:pt idx="29">
                    <c:v>5.0000000000000001E-4</c:v>
                  </c:pt>
                  <c:pt idx="30">
                    <c:v>5.9999999999999995E-4</c:v>
                  </c:pt>
                  <c:pt idx="31">
                    <c:v>6.9999999999999999E-4</c:v>
                  </c:pt>
                  <c:pt idx="36">
                    <c:v>1E-4</c:v>
                  </c:pt>
                  <c:pt idx="37">
                    <c:v>0</c:v>
                  </c:pt>
                  <c:pt idx="39">
                    <c:v>2.7000000000000001E-3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1.5E-3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1.5E-3</c:v>
                  </c:pt>
                  <c:pt idx="6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2333</c:v>
                </c:pt>
                <c:pt idx="31">
                  <c:v>2335.5</c:v>
                </c:pt>
                <c:pt idx="32">
                  <c:v>2513</c:v>
                </c:pt>
                <c:pt idx="33">
                  <c:v>3905</c:v>
                </c:pt>
                <c:pt idx="34">
                  <c:v>4706</c:v>
                </c:pt>
                <c:pt idx="35">
                  <c:v>5442</c:v>
                </c:pt>
                <c:pt idx="36">
                  <c:v>6118</c:v>
                </c:pt>
                <c:pt idx="37">
                  <c:v>6861.5</c:v>
                </c:pt>
                <c:pt idx="38">
                  <c:v>6861.5</c:v>
                </c:pt>
                <c:pt idx="39">
                  <c:v>7758</c:v>
                </c:pt>
                <c:pt idx="40">
                  <c:v>8470</c:v>
                </c:pt>
                <c:pt idx="41">
                  <c:v>8470</c:v>
                </c:pt>
                <c:pt idx="42">
                  <c:v>8470</c:v>
                </c:pt>
                <c:pt idx="43">
                  <c:v>8503.5</c:v>
                </c:pt>
                <c:pt idx="44">
                  <c:v>8503.5</c:v>
                </c:pt>
                <c:pt idx="45">
                  <c:v>8503.5</c:v>
                </c:pt>
                <c:pt idx="46">
                  <c:v>8594.5</c:v>
                </c:pt>
                <c:pt idx="47">
                  <c:v>10727</c:v>
                </c:pt>
                <c:pt idx="48">
                  <c:v>10727</c:v>
                </c:pt>
                <c:pt idx="49">
                  <c:v>11430.5</c:v>
                </c:pt>
                <c:pt idx="50">
                  <c:v>11430.5</c:v>
                </c:pt>
                <c:pt idx="51">
                  <c:v>11430.5</c:v>
                </c:pt>
                <c:pt idx="52">
                  <c:v>11610</c:v>
                </c:pt>
                <c:pt idx="53">
                  <c:v>12112</c:v>
                </c:pt>
                <c:pt idx="54">
                  <c:v>12112</c:v>
                </c:pt>
                <c:pt idx="55">
                  <c:v>12112</c:v>
                </c:pt>
                <c:pt idx="56">
                  <c:v>12141.5</c:v>
                </c:pt>
                <c:pt idx="57">
                  <c:v>12315.5</c:v>
                </c:pt>
                <c:pt idx="58">
                  <c:v>12315.5</c:v>
                </c:pt>
                <c:pt idx="59">
                  <c:v>12946.5</c:v>
                </c:pt>
                <c:pt idx="60">
                  <c:v>13106</c:v>
                </c:pt>
                <c:pt idx="61">
                  <c:v>13116.5</c:v>
                </c:pt>
                <c:pt idx="62">
                  <c:v>13198</c:v>
                </c:pt>
                <c:pt idx="63">
                  <c:v>13759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F4-464A-8A21-2735F3DF24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2333</c:v>
                </c:pt>
                <c:pt idx="31">
                  <c:v>2335.5</c:v>
                </c:pt>
                <c:pt idx="32">
                  <c:v>2513</c:v>
                </c:pt>
                <c:pt idx="33">
                  <c:v>3905</c:v>
                </c:pt>
                <c:pt idx="34">
                  <c:v>4706</c:v>
                </c:pt>
                <c:pt idx="35">
                  <c:v>5442</c:v>
                </c:pt>
                <c:pt idx="36">
                  <c:v>6118</c:v>
                </c:pt>
                <c:pt idx="37">
                  <c:v>6861.5</c:v>
                </c:pt>
                <c:pt idx="38">
                  <c:v>6861.5</c:v>
                </c:pt>
                <c:pt idx="39">
                  <c:v>7758</c:v>
                </c:pt>
                <c:pt idx="40">
                  <c:v>8470</c:v>
                </c:pt>
                <c:pt idx="41">
                  <c:v>8470</c:v>
                </c:pt>
                <c:pt idx="42">
                  <c:v>8470</c:v>
                </c:pt>
                <c:pt idx="43">
                  <c:v>8503.5</c:v>
                </c:pt>
                <c:pt idx="44">
                  <c:v>8503.5</c:v>
                </c:pt>
                <c:pt idx="45">
                  <c:v>8503.5</c:v>
                </c:pt>
                <c:pt idx="46">
                  <c:v>8594.5</c:v>
                </c:pt>
                <c:pt idx="47">
                  <c:v>10727</c:v>
                </c:pt>
                <c:pt idx="48">
                  <c:v>10727</c:v>
                </c:pt>
                <c:pt idx="49">
                  <c:v>11430.5</c:v>
                </c:pt>
                <c:pt idx="50">
                  <c:v>11430.5</c:v>
                </c:pt>
                <c:pt idx="51">
                  <c:v>11430.5</c:v>
                </c:pt>
                <c:pt idx="52">
                  <c:v>11610</c:v>
                </c:pt>
                <c:pt idx="53">
                  <c:v>12112</c:v>
                </c:pt>
                <c:pt idx="54">
                  <c:v>12112</c:v>
                </c:pt>
                <c:pt idx="55">
                  <c:v>12112</c:v>
                </c:pt>
                <c:pt idx="56">
                  <c:v>12141.5</c:v>
                </c:pt>
                <c:pt idx="57">
                  <c:v>12315.5</c:v>
                </c:pt>
                <c:pt idx="58">
                  <c:v>12315.5</c:v>
                </c:pt>
                <c:pt idx="59">
                  <c:v>12946.5</c:v>
                </c:pt>
                <c:pt idx="60">
                  <c:v>13106</c:v>
                </c:pt>
                <c:pt idx="61">
                  <c:v>13116.5</c:v>
                </c:pt>
                <c:pt idx="62">
                  <c:v>13198</c:v>
                </c:pt>
                <c:pt idx="63">
                  <c:v>13759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4.24919590980792E-2</c:v>
                </c:pt>
                <c:pt idx="1">
                  <c:v>3.2035021206821022E-2</c:v>
                </c:pt>
                <c:pt idx="2">
                  <c:v>3.1451310377564989E-2</c:v>
                </c:pt>
                <c:pt idx="3">
                  <c:v>2.8232846987869448E-2</c:v>
                </c:pt>
                <c:pt idx="4">
                  <c:v>2.8219807455547041E-2</c:v>
                </c:pt>
                <c:pt idx="5">
                  <c:v>2.8203699797972298E-2</c:v>
                </c:pt>
                <c:pt idx="6">
                  <c:v>2.726485347075892E-2</c:v>
                </c:pt>
                <c:pt idx="7">
                  <c:v>2.7126020803090928E-2</c:v>
                </c:pt>
                <c:pt idx="8">
                  <c:v>2.7122952677838597E-2</c:v>
                </c:pt>
                <c:pt idx="9">
                  <c:v>2.6254673231428837E-2</c:v>
                </c:pt>
                <c:pt idx="10">
                  <c:v>2.6254673231428837E-2</c:v>
                </c:pt>
                <c:pt idx="11">
                  <c:v>2.3877643192185157E-2</c:v>
                </c:pt>
                <c:pt idx="12">
                  <c:v>1.7890963793573692E-2</c:v>
                </c:pt>
                <c:pt idx="13">
                  <c:v>1.7878691292564367E-2</c:v>
                </c:pt>
                <c:pt idx="14">
                  <c:v>1.7874856135998953E-2</c:v>
                </c:pt>
                <c:pt idx="15">
                  <c:v>1.4400204287733748E-2</c:v>
                </c:pt>
                <c:pt idx="16">
                  <c:v>1.4394068037229086E-2</c:v>
                </c:pt>
                <c:pt idx="17">
                  <c:v>1.4390999911976754E-2</c:v>
                </c:pt>
                <c:pt idx="18">
                  <c:v>1.4361852722079606E-2</c:v>
                </c:pt>
                <c:pt idx="19">
                  <c:v>1.4351881315009529E-2</c:v>
                </c:pt>
                <c:pt idx="20">
                  <c:v>1.4348813189757198E-2</c:v>
                </c:pt>
                <c:pt idx="21">
                  <c:v>1.4345745064504867E-2</c:v>
                </c:pt>
                <c:pt idx="22">
                  <c:v>1.4342676939252536E-2</c:v>
                </c:pt>
                <c:pt idx="23">
                  <c:v>1.4300490217032981E-2</c:v>
                </c:pt>
                <c:pt idx="24">
                  <c:v>1.4184668488757473E-2</c:v>
                </c:pt>
                <c:pt idx="25">
                  <c:v>1.320440247063762E-2</c:v>
                </c:pt>
                <c:pt idx="26">
                  <c:v>1.2988866671661346E-2</c:v>
                </c:pt>
                <c:pt idx="27">
                  <c:v>1.2068429095961954E-2</c:v>
                </c:pt>
                <c:pt idx="28">
                  <c:v>1.2031611592933977E-2</c:v>
                </c:pt>
                <c:pt idx="29">
                  <c:v>1.0705414452613769E-2</c:v>
                </c:pt>
                <c:pt idx="30">
                  <c:v>9.5893838920782567E-3</c:v>
                </c:pt>
                <c:pt idx="31">
                  <c:v>9.5855487355128426E-3</c:v>
                </c:pt>
                <c:pt idx="32">
                  <c:v>9.3132526193684395E-3</c:v>
                </c:pt>
                <c:pt idx="33">
                  <c:v>7.1778374437458494E-3</c:v>
                </c:pt>
                <c:pt idx="34">
                  <c:v>5.949053280187161E-3</c:v>
                </c:pt>
                <c:pt idx="35">
                  <c:v>4.8199831873292388E-3</c:v>
                </c:pt>
                <c:pt idx="36">
                  <c:v>3.7829568520412575E-3</c:v>
                </c:pt>
                <c:pt idx="37">
                  <c:v>2.6423812894870932E-3</c:v>
                </c:pt>
                <c:pt idx="38">
                  <c:v>2.6423812894870932E-3</c:v>
                </c:pt>
                <c:pt idx="39">
                  <c:v>1.2670941451295853E-3</c:v>
                </c:pt>
                <c:pt idx="40">
                  <c:v>1.7484155529963984E-4</c:v>
                </c:pt>
                <c:pt idx="41">
                  <c:v>1.7484155529963984E-4</c:v>
                </c:pt>
                <c:pt idx="42">
                  <c:v>1.7484155529963984E-4</c:v>
                </c:pt>
                <c:pt idx="43">
                  <c:v>1.2345045732308976E-4</c:v>
                </c:pt>
                <c:pt idx="44">
                  <c:v>1.2345045732308976E-4</c:v>
                </c:pt>
                <c:pt idx="45">
                  <c:v>1.2345045732308976E-4</c:v>
                </c:pt>
                <c:pt idx="46">
                  <c:v>-1.6149241657983579E-5</c:v>
                </c:pt>
                <c:pt idx="47">
                  <c:v>-3.2875377919562403E-3</c:v>
                </c:pt>
                <c:pt idx="48">
                  <c:v>-3.2875377919562403E-3</c:v>
                </c:pt>
                <c:pt idx="49">
                  <c:v>-4.3667508494637797E-3</c:v>
                </c:pt>
                <c:pt idx="50">
                  <c:v>-4.3667508494637797E-3</c:v>
                </c:pt>
                <c:pt idx="51">
                  <c:v>-4.3667508494637797E-3</c:v>
                </c:pt>
                <c:pt idx="52">
                  <c:v>-4.6421150908605123E-3</c:v>
                </c:pt>
                <c:pt idx="53">
                  <c:v>-5.4122145291956719E-3</c:v>
                </c:pt>
                <c:pt idx="54">
                  <c:v>-5.4122145291956719E-3</c:v>
                </c:pt>
                <c:pt idx="55">
                  <c:v>-5.4122145291956719E-3</c:v>
                </c:pt>
                <c:pt idx="56">
                  <c:v>-5.4574693766675578E-3</c:v>
                </c:pt>
                <c:pt idx="57">
                  <c:v>-5.7243962736203829E-3</c:v>
                </c:pt>
                <c:pt idx="58">
                  <c:v>-5.7243962736203829E-3</c:v>
                </c:pt>
                <c:pt idx="59">
                  <c:v>-6.6923897907309113E-3</c:v>
                </c:pt>
                <c:pt idx="60">
                  <c:v>-6.9370727796043315E-3</c:v>
                </c:pt>
                <c:pt idx="61">
                  <c:v>-6.9531804371790705E-3</c:v>
                </c:pt>
                <c:pt idx="62">
                  <c:v>-7.0782065412115722E-3</c:v>
                </c:pt>
                <c:pt idx="63">
                  <c:v>-7.9388156744905035E-3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F4-464A-8A21-2735F3DF24C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-19115</c:v>
                </c:pt>
                <c:pt idx="1">
                  <c:v>-12298.5</c:v>
                </c:pt>
                <c:pt idx="2">
                  <c:v>-11918</c:v>
                </c:pt>
                <c:pt idx="3">
                  <c:v>-9820</c:v>
                </c:pt>
                <c:pt idx="4">
                  <c:v>-9811.5</c:v>
                </c:pt>
                <c:pt idx="5">
                  <c:v>-9801</c:v>
                </c:pt>
                <c:pt idx="6">
                  <c:v>-9189</c:v>
                </c:pt>
                <c:pt idx="7">
                  <c:v>-9098.5</c:v>
                </c:pt>
                <c:pt idx="8">
                  <c:v>-9096.5</c:v>
                </c:pt>
                <c:pt idx="9">
                  <c:v>-8530.5</c:v>
                </c:pt>
                <c:pt idx="10">
                  <c:v>-8530.5</c:v>
                </c:pt>
                <c:pt idx="11">
                  <c:v>-6981</c:v>
                </c:pt>
                <c:pt idx="12">
                  <c:v>-3078.5</c:v>
                </c:pt>
                <c:pt idx="13">
                  <c:v>-3070.5</c:v>
                </c:pt>
                <c:pt idx="14">
                  <c:v>-3068</c:v>
                </c:pt>
                <c:pt idx="15">
                  <c:v>-803</c:v>
                </c:pt>
                <c:pt idx="16">
                  <c:v>-799</c:v>
                </c:pt>
                <c:pt idx="17">
                  <c:v>-797</c:v>
                </c:pt>
                <c:pt idx="18">
                  <c:v>-778</c:v>
                </c:pt>
                <c:pt idx="19">
                  <c:v>-771.5</c:v>
                </c:pt>
                <c:pt idx="20">
                  <c:v>-769.5</c:v>
                </c:pt>
                <c:pt idx="21">
                  <c:v>-767.5</c:v>
                </c:pt>
                <c:pt idx="22">
                  <c:v>-765.5</c:v>
                </c:pt>
                <c:pt idx="23">
                  <c:v>-738</c:v>
                </c:pt>
                <c:pt idx="24">
                  <c:v>-662.5</c:v>
                </c:pt>
                <c:pt idx="25">
                  <c:v>-23.5</c:v>
                </c:pt>
                <c:pt idx="26">
                  <c:v>117</c:v>
                </c:pt>
                <c:pt idx="27">
                  <c:v>717</c:v>
                </c:pt>
                <c:pt idx="28">
                  <c:v>741</c:v>
                </c:pt>
                <c:pt idx="29">
                  <c:v>1605.5</c:v>
                </c:pt>
                <c:pt idx="30">
                  <c:v>2333</c:v>
                </c:pt>
                <c:pt idx="31">
                  <c:v>2335.5</c:v>
                </c:pt>
                <c:pt idx="32">
                  <c:v>2513</c:v>
                </c:pt>
                <c:pt idx="33">
                  <c:v>3905</c:v>
                </c:pt>
                <c:pt idx="34">
                  <c:v>4706</c:v>
                </c:pt>
                <c:pt idx="35">
                  <c:v>5442</c:v>
                </c:pt>
                <c:pt idx="36">
                  <c:v>6118</c:v>
                </c:pt>
                <c:pt idx="37">
                  <c:v>6861.5</c:v>
                </c:pt>
                <c:pt idx="38">
                  <c:v>6861.5</c:v>
                </c:pt>
                <c:pt idx="39">
                  <c:v>7758</c:v>
                </c:pt>
                <c:pt idx="40">
                  <c:v>8470</c:v>
                </c:pt>
                <c:pt idx="41">
                  <c:v>8470</c:v>
                </c:pt>
                <c:pt idx="42">
                  <c:v>8470</c:v>
                </c:pt>
                <c:pt idx="43">
                  <c:v>8503.5</c:v>
                </c:pt>
                <c:pt idx="44">
                  <c:v>8503.5</c:v>
                </c:pt>
                <c:pt idx="45">
                  <c:v>8503.5</c:v>
                </c:pt>
                <c:pt idx="46">
                  <c:v>8594.5</c:v>
                </c:pt>
                <c:pt idx="47">
                  <c:v>10727</c:v>
                </c:pt>
                <c:pt idx="48">
                  <c:v>10727</c:v>
                </c:pt>
                <c:pt idx="49">
                  <c:v>11430.5</c:v>
                </c:pt>
                <c:pt idx="50">
                  <c:v>11430.5</c:v>
                </c:pt>
                <c:pt idx="51">
                  <c:v>11430.5</c:v>
                </c:pt>
                <c:pt idx="52">
                  <c:v>11610</c:v>
                </c:pt>
                <c:pt idx="53">
                  <c:v>12112</c:v>
                </c:pt>
                <c:pt idx="54">
                  <c:v>12112</c:v>
                </c:pt>
                <c:pt idx="55">
                  <c:v>12112</c:v>
                </c:pt>
                <c:pt idx="56">
                  <c:v>12141.5</c:v>
                </c:pt>
                <c:pt idx="57">
                  <c:v>12315.5</c:v>
                </c:pt>
                <c:pt idx="58">
                  <c:v>12315.5</c:v>
                </c:pt>
                <c:pt idx="59">
                  <c:v>12946.5</c:v>
                </c:pt>
                <c:pt idx="60">
                  <c:v>13106</c:v>
                </c:pt>
                <c:pt idx="61">
                  <c:v>13116.5</c:v>
                </c:pt>
                <c:pt idx="62">
                  <c:v>13198</c:v>
                </c:pt>
                <c:pt idx="63">
                  <c:v>13759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9">
                  <c:v>-0.11327799999708077</c:v>
                </c:pt>
                <c:pt idx="26">
                  <c:v>-4.2067999995197169E-2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B0-44C6-B30B-C7051C68C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663064"/>
        <c:axId val="1"/>
      </c:scatterChart>
      <c:valAx>
        <c:axId val="710663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663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6774193548388"/>
          <c:y val="0.92097264437689974"/>
          <c:w val="0.75714281303072406"/>
          <c:h val="5.5753900327676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171450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312E5373-98CE-51BB-E98A-C4E783C0E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371475</xdr:colOff>
      <xdr:row>0</xdr:row>
      <xdr:rowOff>0</xdr:rowOff>
    </xdr:from>
    <xdr:to>
      <xdr:col>26</xdr:col>
      <xdr:colOff>676275</xdr:colOff>
      <xdr:row>18</xdr:row>
      <xdr:rowOff>57150</xdr:rowOff>
    </xdr:to>
    <xdr:graphicFrame macro="">
      <xdr:nvGraphicFramePr>
        <xdr:cNvPr id="1031" name="Chart 2">
          <a:extLst>
            <a:ext uri="{FF2B5EF4-FFF2-40B4-BE49-F238E27FC236}">
              <a16:creationId xmlns:a16="http://schemas.microsoft.com/office/drawing/2014/main" id="{BF211AC5-B144-B592-42F0-C3672513A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380" TargetMode="External"/><Relationship Id="rId13" Type="http://schemas.openxmlformats.org/officeDocument/2006/relationships/hyperlink" Target="http://www.konkoly.hu/cgi-bin/IBVS?5439" TargetMode="External"/><Relationship Id="rId18" Type="http://schemas.openxmlformats.org/officeDocument/2006/relationships/hyperlink" Target="http://www.konkoly.hu/cgi-bin/IBVS?5843" TargetMode="External"/><Relationship Id="rId26" Type="http://schemas.openxmlformats.org/officeDocument/2006/relationships/hyperlink" Target="http://www.konkoly.hu/cgi-bin/IBVS?5754" TargetMode="External"/><Relationship Id="rId3" Type="http://schemas.openxmlformats.org/officeDocument/2006/relationships/hyperlink" Target="http://www.bav-astro.de/sfs/BAVM_link.php?BAVMnr=225" TargetMode="External"/><Relationship Id="rId21" Type="http://schemas.openxmlformats.org/officeDocument/2006/relationships/hyperlink" Target="http://www.konkoly.hu/cgi-bin/IBVS?5843" TargetMode="External"/><Relationship Id="rId34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konkoly.hu/cgi-bin/IBVS?4380" TargetMode="External"/><Relationship Id="rId12" Type="http://schemas.openxmlformats.org/officeDocument/2006/relationships/hyperlink" Target="http://www.konkoly.hu/cgi-bin/IBVS?5463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www.konkoly.hu/cgi-bin/IBVS?5754" TargetMode="External"/><Relationship Id="rId33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bav-astro.de/sfs/BAVM_link.php?BAVMnr=225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www.konkoly.hu/cgi-bin/IBVS?5843" TargetMode="External"/><Relationship Id="rId29" Type="http://schemas.openxmlformats.org/officeDocument/2006/relationships/hyperlink" Target="http://www.konkoly.hu/cgi-bin/IBVS?5887" TargetMode="External"/><Relationship Id="rId1" Type="http://schemas.openxmlformats.org/officeDocument/2006/relationships/hyperlink" Target="http://www.konkoly.hu/cgi-bin/IBVS?2073" TargetMode="External"/><Relationship Id="rId6" Type="http://schemas.openxmlformats.org/officeDocument/2006/relationships/hyperlink" Target="http://www.bav-astro.de/sfs/BAVM_link.php?BAVMnr=225" TargetMode="External"/><Relationship Id="rId11" Type="http://schemas.openxmlformats.org/officeDocument/2006/relationships/hyperlink" Target="http://www.konkoly.hu/cgi-bin/IBVS?4126" TargetMode="External"/><Relationship Id="rId24" Type="http://schemas.openxmlformats.org/officeDocument/2006/relationships/hyperlink" Target="http://www.konkoly.hu/cgi-bin/IBVS?5843" TargetMode="External"/><Relationship Id="rId32" Type="http://schemas.openxmlformats.org/officeDocument/2006/relationships/hyperlink" Target="http://vsolj.cetus-net.org/vsoljno50.pdf" TargetMode="External"/><Relationship Id="rId5" Type="http://schemas.openxmlformats.org/officeDocument/2006/relationships/hyperlink" Target="http://www.bav-astro.de/sfs/BAVM_link.php?BAVMnr=225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konkoly.hu/cgi-bin/IBVS?5843" TargetMode="External"/><Relationship Id="rId28" Type="http://schemas.openxmlformats.org/officeDocument/2006/relationships/hyperlink" Target="http://vsolj.cetus-net.org/no45.pdf" TargetMode="External"/><Relationship Id="rId36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www.konkoly.hu/cgi-bin/IBVS?4126" TargetMode="External"/><Relationship Id="rId19" Type="http://schemas.openxmlformats.org/officeDocument/2006/relationships/hyperlink" Target="http://www.konkoly.hu/cgi-bin/IBVS?5843" TargetMode="External"/><Relationship Id="rId31" Type="http://schemas.openxmlformats.org/officeDocument/2006/relationships/hyperlink" Target="http://www.konkoly.hu/cgi-bin/IBVS?5887" TargetMode="External"/><Relationship Id="rId4" Type="http://schemas.openxmlformats.org/officeDocument/2006/relationships/hyperlink" Target="http://www.bav-astro.de/sfs/BAVM_link.php?BAVMnr=225" TargetMode="External"/><Relationship Id="rId9" Type="http://schemas.openxmlformats.org/officeDocument/2006/relationships/hyperlink" Target="http://www.konkoly.hu/cgi-bin/IBVS?4380" TargetMode="External"/><Relationship Id="rId14" Type="http://schemas.openxmlformats.org/officeDocument/2006/relationships/hyperlink" Target="http://www.konkoly.hu/cgi-bin/IBVS?5463" TargetMode="External"/><Relationship Id="rId22" Type="http://schemas.openxmlformats.org/officeDocument/2006/relationships/hyperlink" Target="http://www.konkoly.hu/cgi-bin/IBVS?5843" TargetMode="External"/><Relationship Id="rId27" Type="http://schemas.openxmlformats.org/officeDocument/2006/relationships/hyperlink" Target="http://www.konkoly.hu/cgi-bin/IBVS?5843" TargetMode="External"/><Relationship Id="rId30" Type="http://schemas.openxmlformats.org/officeDocument/2006/relationships/hyperlink" Target="http://www.konkoly.hu/cgi-bin/IBVS?5887" TargetMode="External"/><Relationship Id="rId35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4"/>
  <sheetViews>
    <sheetView tabSelected="1" workbookViewId="0">
      <pane xSplit="14" ySplit="22" topLeftCell="O65" activePane="bottomRight" state="frozen"/>
      <selection pane="topRight" activeCell="O1" sqref="O1"/>
      <selection pane="bottomLeft" activeCell="A23" sqref="A23"/>
      <selection pane="bottomRight" activeCell="F9" sqref="F8:F9"/>
    </sheetView>
  </sheetViews>
  <sheetFormatPr defaultColWidth="10.28515625" defaultRowHeight="12.75"/>
  <cols>
    <col min="1" max="1" width="16" customWidth="1"/>
    <col min="2" max="2" width="5.14062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32</v>
      </c>
    </row>
    <row r="2" spans="1:6" s="54" customFormat="1" ht="12.95" customHeight="1">
      <c r="A2" s="54" t="s">
        <v>26</v>
      </c>
      <c r="B2" s="54" t="s">
        <v>39</v>
      </c>
      <c r="C2" s="55"/>
      <c r="D2" s="55"/>
    </row>
    <row r="3" spans="1:6" s="54" customFormat="1" ht="12.95" customHeight="1" thickBot="1"/>
    <row r="4" spans="1:6" s="54" customFormat="1" ht="12.95" customHeight="1" thickTop="1" thickBot="1">
      <c r="A4" s="56" t="s">
        <v>3</v>
      </c>
      <c r="C4" s="57" t="s">
        <v>30</v>
      </c>
      <c r="D4" s="58" t="s">
        <v>30</v>
      </c>
    </row>
    <row r="5" spans="1:6" s="54" customFormat="1" ht="12.95" customHeight="1" thickTop="1">
      <c r="A5" s="59" t="s">
        <v>40</v>
      </c>
      <c r="C5" s="60">
        <v>-9.5</v>
      </c>
      <c r="D5" s="54" t="s">
        <v>41</v>
      </c>
    </row>
    <row r="6" spans="1:6" s="54" customFormat="1" ht="12.95" customHeight="1">
      <c r="A6" s="56" t="s">
        <v>4</v>
      </c>
      <c r="E6" s="96" t="s">
        <v>33</v>
      </c>
    </row>
    <row r="7" spans="1:6" s="54" customFormat="1" ht="12.95" customHeight="1">
      <c r="A7" s="54" t="s">
        <v>5</v>
      </c>
      <c r="C7" s="78">
        <v>53653.716099999998</v>
      </c>
      <c r="D7" s="86" t="s">
        <v>247</v>
      </c>
      <c r="E7" s="97">
        <v>49596.462899999999</v>
      </c>
    </row>
    <row r="8" spans="1:6" s="54" customFormat="1" ht="12.95" customHeight="1">
      <c r="A8" s="54" t="s">
        <v>6</v>
      </c>
      <c r="C8" s="79">
        <v>0.47560400000000003</v>
      </c>
      <c r="D8" s="86" t="s">
        <v>247</v>
      </c>
      <c r="E8" s="98">
        <v>0.47561100000000001</v>
      </c>
    </row>
    <row r="9" spans="1:6" s="54" customFormat="1" ht="12.95" customHeight="1">
      <c r="A9" s="61" t="s">
        <v>44</v>
      </c>
      <c r="B9" s="62">
        <v>50</v>
      </c>
      <c r="C9" s="63" t="str">
        <f>"F"&amp;B9</f>
        <v>F50</v>
      </c>
      <c r="D9" s="64" t="str">
        <f>"G"&amp;B9</f>
        <v>G50</v>
      </c>
    </row>
    <row r="10" spans="1:6" s="54" customFormat="1" ht="12.95" customHeight="1" thickBot="1">
      <c r="C10" s="65" t="s">
        <v>22</v>
      </c>
      <c r="D10" s="65" t="s">
        <v>23</v>
      </c>
    </row>
    <row r="11" spans="1:6" s="54" customFormat="1" ht="12.95" customHeight="1">
      <c r="A11" s="54" t="s">
        <v>18</v>
      </c>
      <c r="C11" s="64">
        <f ca="1">INTERCEPT(INDIRECT($D$9):G992,INDIRECT($C$9):F992)</f>
        <v>1.3168351998922728E-2</v>
      </c>
      <c r="D11" s="55"/>
    </row>
    <row r="12" spans="1:6" s="54" customFormat="1" ht="12.95" customHeight="1">
      <c r="A12" s="54" t="s">
        <v>19</v>
      </c>
      <c r="C12" s="64">
        <f ca="1">SLOPE(INDIRECT($D$9):G992,INDIRECT($C$9):F992)</f>
        <v>-1.5340626261656538E-6</v>
      </c>
      <c r="D12" s="55"/>
      <c r="E12" s="90" t="s">
        <v>243</v>
      </c>
      <c r="F12" s="91" t="s">
        <v>246</v>
      </c>
    </row>
    <row r="13" spans="1:6" s="54" customFormat="1" ht="12.95" customHeight="1">
      <c r="A13" s="54" t="s">
        <v>21</v>
      </c>
      <c r="C13" s="55" t="s">
        <v>16</v>
      </c>
      <c r="E13" s="88" t="s">
        <v>47</v>
      </c>
      <c r="F13" s="92">
        <v>1</v>
      </c>
    </row>
    <row r="14" spans="1:6" s="54" customFormat="1" ht="12.95" customHeight="1">
      <c r="E14" s="88" t="s">
        <v>42</v>
      </c>
      <c r="F14" s="93">
        <f ca="1">NOW()+15018.5+$C$5/24</f>
        <v>60581.840145949071</v>
      </c>
    </row>
    <row r="15" spans="1:6" s="54" customFormat="1" ht="12.95" customHeight="1">
      <c r="A15" s="66" t="s">
        <v>20</v>
      </c>
      <c r="C15" s="67">
        <f ca="1">(C7+C11)+(C8+C12)*INT(MAX(F21:F3533))</f>
        <v>60197.543597184325</v>
      </c>
      <c r="E15" s="88" t="s">
        <v>48</v>
      </c>
      <c r="F15" s="93">
        <f ca="1">ROUND(2*($F$14-$C$7)/$C$8,0)/2+$F$13</f>
        <v>14568</v>
      </c>
    </row>
    <row r="16" spans="1:6" s="54" customFormat="1" ht="12.95" customHeight="1">
      <c r="A16" s="56" t="s">
        <v>7</v>
      </c>
      <c r="C16" s="69">
        <f ca="1">+C8+C12</f>
        <v>0.47560246593737387</v>
      </c>
      <c r="E16" s="88" t="s">
        <v>43</v>
      </c>
      <c r="F16" s="93">
        <f ca="1">ROUND(2*($F$14-$C$15)/$C$16,0)/2+$F$13</f>
        <v>809</v>
      </c>
    </row>
    <row r="17" spans="1:21" s="54" customFormat="1" ht="12.95" customHeight="1" thickBot="1">
      <c r="A17" s="68" t="s">
        <v>31</v>
      </c>
      <c r="C17" s="54">
        <f>COUNT(C21:C2191)</f>
        <v>64</v>
      </c>
      <c r="E17" s="88" t="s">
        <v>244</v>
      </c>
      <c r="F17" s="94">
        <f ca="1">+$C$15+$C$16*$F$16-15018.5-$C$5/24</f>
        <v>45564.201825460994</v>
      </c>
    </row>
    <row r="18" spans="1:21" s="54" customFormat="1" ht="12.95" customHeight="1" thickTop="1" thickBot="1">
      <c r="A18" s="56" t="s">
        <v>8</v>
      </c>
      <c r="C18" s="70">
        <f ca="1">+C15</f>
        <v>60197.543597184325</v>
      </c>
      <c r="D18" s="87">
        <f ca="1">+C16</f>
        <v>0.47560246593737387</v>
      </c>
      <c r="E18" s="89" t="s">
        <v>245</v>
      </c>
      <c r="F18" s="95">
        <f ca="1">+($C$15+$C$16*$F$16)-($C$16/2)-15018.5-$C$5/24</f>
        <v>45563.964024228022</v>
      </c>
    </row>
    <row r="19" spans="1:21" s="54" customFormat="1" ht="12.95" customHeight="1" thickTop="1">
      <c r="E19" s="68"/>
      <c r="F19" s="71"/>
    </row>
    <row r="20" spans="1:21" s="54" customFormat="1" ht="12.95" customHeight="1" thickBot="1">
      <c r="A20" s="65" t="s">
        <v>9</v>
      </c>
      <c r="B20" s="65" t="s">
        <v>10</v>
      </c>
      <c r="C20" s="65" t="s">
        <v>11</v>
      </c>
      <c r="D20" s="65" t="s">
        <v>15</v>
      </c>
      <c r="E20" s="65" t="s">
        <v>12</v>
      </c>
      <c r="F20" s="65" t="s">
        <v>13</v>
      </c>
      <c r="G20" s="65" t="s">
        <v>14</v>
      </c>
      <c r="H20" s="72" t="s">
        <v>57</v>
      </c>
      <c r="I20" s="72" t="s">
        <v>60</v>
      </c>
      <c r="J20" s="72" t="s">
        <v>54</v>
      </c>
      <c r="K20" s="72" t="s">
        <v>52</v>
      </c>
      <c r="L20" s="72" t="s">
        <v>27</v>
      </c>
      <c r="M20" s="72" t="s">
        <v>28</v>
      </c>
      <c r="N20" s="72" t="s">
        <v>29</v>
      </c>
      <c r="O20" s="72" t="s">
        <v>25</v>
      </c>
      <c r="P20" s="73" t="s">
        <v>24</v>
      </c>
      <c r="Q20" s="65" t="s">
        <v>17</v>
      </c>
      <c r="U20" s="74" t="s">
        <v>233</v>
      </c>
    </row>
    <row r="21" spans="1:21" s="54" customFormat="1" ht="12.95" customHeight="1">
      <c r="A21" s="75" t="s">
        <v>67</v>
      </c>
      <c r="B21" s="76" t="s">
        <v>34</v>
      </c>
      <c r="C21" s="75">
        <v>44562.469100000002</v>
      </c>
      <c r="D21" s="7"/>
      <c r="E21" s="54">
        <f t="shared" ref="E21:E52" si="0">+(C21-C$7)/C$8</f>
        <v>-19115.160932204093</v>
      </c>
      <c r="F21" s="54">
        <f t="shared" ref="F21:F52" si="1">ROUND(2*E21,0)/2</f>
        <v>-19115</v>
      </c>
      <c r="G21" s="54">
        <f t="shared" ref="G21:G29" si="2">+C21-(C$7+F21*C$8)</f>
        <v>-7.6539999994565733E-2</v>
      </c>
      <c r="J21" s="54">
        <f>+G21</f>
        <v>-7.6539999994565733E-2</v>
      </c>
      <c r="O21" s="54">
        <f t="shared" ref="O21:O52" ca="1" si="3">+C$11+C$12*$F21</f>
        <v>4.24919590980792E-2</v>
      </c>
      <c r="Q21" s="77">
        <f t="shared" ref="Q21:Q52" si="4">+C21-15018.5</f>
        <v>29543.969100000002</v>
      </c>
    </row>
    <row r="22" spans="1:21" s="54" customFormat="1" ht="12.95" customHeight="1">
      <c r="A22" s="75" t="s">
        <v>74</v>
      </c>
      <c r="B22" s="76" t="s">
        <v>36</v>
      </c>
      <c r="C22" s="75">
        <v>47804.430999999997</v>
      </c>
      <c r="D22" s="80"/>
      <c r="E22" s="54">
        <f t="shared" si="0"/>
        <v>-12298.645722071304</v>
      </c>
      <c r="F22" s="54">
        <f t="shared" si="1"/>
        <v>-12298.5</v>
      </c>
      <c r="G22" s="54">
        <f t="shared" si="2"/>
        <v>-6.9305999997595791E-2</v>
      </c>
      <c r="K22" s="54">
        <f>+G22</f>
        <v>-6.9305999997595791E-2</v>
      </c>
      <c r="O22" s="54">
        <f t="shared" ca="1" si="3"/>
        <v>3.2035021206821022E-2</v>
      </c>
      <c r="Q22" s="77">
        <f t="shared" si="4"/>
        <v>32785.930999999997</v>
      </c>
    </row>
    <row r="23" spans="1:21" s="54" customFormat="1" ht="12.95" customHeight="1">
      <c r="A23" s="75" t="s">
        <v>74</v>
      </c>
      <c r="B23" s="76" t="s">
        <v>34</v>
      </c>
      <c r="C23" s="75">
        <v>47985.36</v>
      </c>
      <c r="D23" s="80"/>
      <c r="E23" s="54">
        <f t="shared" si="0"/>
        <v>-11918.226297508005</v>
      </c>
      <c r="F23" s="54">
        <f t="shared" si="1"/>
        <v>-11918</v>
      </c>
      <c r="G23" s="54">
        <f t="shared" si="2"/>
        <v>-0.1076279999979306</v>
      </c>
      <c r="K23" s="54">
        <f>+G23</f>
        <v>-0.1076279999979306</v>
      </c>
      <c r="O23" s="54">
        <f t="shared" ca="1" si="3"/>
        <v>3.1451310377564989E-2</v>
      </c>
      <c r="Q23" s="77">
        <f t="shared" si="4"/>
        <v>32966.86</v>
      </c>
    </row>
    <row r="24" spans="1:21" s="54" customFormat="1" ht="12.95" customHeight="1">
      <c r="A24" s="75" t="s">
        <v>74</v>
      </c>
      <c r="B24" s="76" t="s">
        <v>34</v>
      </c>
      <c r="C24" s="75">
        <v>48983.220999999998</v>
      </c>
      <c r="D24" s="80"/>
      <c r="E24" s="54">
        <f t="shared" si="0"/>
        <v>-9820.1341872650355</v>
      </c>
      <c r="F24" s="54">
        <f t="shared" si="1"/>
        <v>-9820</v>
      </c>
      <c r="G24" s="54">
        <f t="shared" si="2"/>
        <v>-6.3820000003033783E-2</v>
      </c>
      <c r="K24" s="54">
        <f>+G24</f>
        <v>-6.3820000003033783E-2</v>
      </c>
      <c r="O24" s="54">
        <f t="shared" ca="1" si="3"/>
        <v>2.8232846987869448E-2</v>
      </c>
      <c r="Q24" s="77">
        <f t="shared" si="4"/>
        <v>33964.720999999998</v>
      </c>
    </row>
    <row r="25" spans="1:21" s="54" customFormat="1" ht="12.95" customHeight="1">
      <c r="A25" s="75" t="s">
        <v>74</v>
      </c>
      <c r="B25" s="76" t="s">
        <v>36</v>
      </c>
      <c r="C25" s="75">
        <v>48987.26</v>
      </c>
      <c r="D25" s="80"/>
      <c r="E25" s="54">
        <f t="shared" si="0"/>
        <v>-9811.6418280754478</v>
      </c>
      <c r="F25" s="54">
        <f t="shared" si="1"/>
        <v>-9811.5</v>
      </c>
      <c r="G25" s="54">
        <f t="shared" si="2"/>
        <v>-6.7453999996359926E-2</v>
      </c>
      <c r="K25" s="54">
        <f>+G25</f>
        <v>-6.7453999996359926E-2</v>
      </c>
      <c r="O25" s="54">
        <f t="shared" ca="1" si="3"/>
        <v>2.8219807455547041E-2</v>
      </c>
      <c r="Q25" s="77">
        <f t="shared" si="4"/>
        <v>33968.76</v>
      </c>
    </row>
    <row r="26" spans="1:21" s="54" customFormat="1" ht="12.95" customHeight="1">
      <c r="A26" s="75" t="s">
        <v>74</v>
      </c>
      <c r="B26" s="76" t="s">
        <v>34</v>
      </c>
      <c r="C26" s="75">
        <v>48992.254000000001</v>
      </c>
      <c r="D26" s="80"/>
      <c r="E26" s="54">
        <f t="shared" si="0"/>
        <v>-9801.1414958663026</v>
      </c>
      <c r="F26" s="54">
        <f t="shared" si="1"/>
        <v>-9801</v>
      </c>
      <c r="G26" s="54">
        <f t="shared" si="2"/>
        <v>-6.729599999380298E-2</v>
      </c>
      <c r="K26" s="54">
        <f>+G26</f>
        <v>-6.729599999380298E-2</v>
      </c>
      <c r="O26" s="54">
        <f t="shared" ca="1" si="3"/>
        <v>2.8203699797972298E-2</v>
      </c>
      <c r="Q26" s="77">
        <f t="shared" si="4"/>
        <v>33973.754000000001</v>
      </c>
    </row>
    <row r="27" spans="1:21" s="54" customFormat="1" ht="12.95" customHeight="1">
      <c r="A27" s="6" t="s">
        <v>35</v>
      </c>
      <c r="B27" s="5" t="s">
        <v>36</v>
      </c>
      <c r="C27" s="6">
        <v>49283.324999999997</v>
      </c>
      <c r="D27" s="6">
        <v>1E-3</v>
      </c>
      <c r="E27" s="54">
        <f t="shared" si="0"/>
        <v>-9189.1386531652388</v>
      </c>
      <c r="F27" s="54">
        <f t="shared" si="1"/>
        <v>-9189</v>
      </c>
      <c r="G27" s="54">
        <f t="shared" si="2"/>
        <v>-6.5944000001763925E-2</v>
      </c>
      <c r="J27" s="54">
        <f>+G27</f>
        <v>-6.5944000001763925E-2</v>
      </c>
      <c r="O27" s="54">
        <f t="shared" ca="1" si="3"/>
        <v>2.726485347075892E-2</v>
      </c>
      <c r="Q27" s="77">
        <f t="shared" si="4"/>
        <v>34264.824999999997</v>
      </c>
    </row>
    <row r="28" spans="1:21" s="54" customFormat="1" ht="12.95" customHeight="1">
      <c r="A28" s="6" t="s">
        <v>35</v>
      </c>
      <c r="B28" s="5" t="s">
        <v>34</v>
      </c>
      <c r="C28" s="6">
        <v>49326.369599999998</v>
      </c>
      <c r="D28" s="6">
        <v>1.1000000000000001E-3</v>
      </c>
      <c r="E28" s="54">
        <f t="shared" si="0"/>
        <v>-9098.6335270519157</v>
      </c>
      <c r="F28" s="54">
        <f t="shared" si="1"/>
        <v>-9098.5</v>
      </c>
      <c r="G28" s="54">
        <f t="shared" si="2"/>
        <v>-6.3505999998596963E-2</v>
      </c>
      <c r="J28" s="54">
        <f>+G28</f>
        <v>-6.3505999998596963E-2</v>
      </c>
      <c r="O28" s="54">
        <f t="shared" ca="1" si="3"/>
        <v>2.7126020803090928E-2</v>
      </c>
      <c r="Q28" s="77">
        <f t="shared" si="4"/>
        <v>34307.869599999998</v>
      </c>
    </row>
    <row r="29" spans="1:21" s="54" customFormat="1" ht="12.95" customHeight="1">
      <c r="A29" s="6" t="s">
        <v>35</v>
      </c>
      <c r="B29" s="5" t="s">
        <v>34</v>
      </c>
      <c r="C29" s="6">
        <v>49327.320299999999</v>
      </c>
      <c r="D29" s="6">
        <v>1.5E-3</v>
      </c>
      <c r="E29" s="54">
        <f t="shared" si="0"/>
        <v>-9096.6345951674048</v>
      </c>
      <c r="F29" s="54">
        <f t="shared" si="1"/>
        <v>-9096.5</v>
      </c>
      <c r="G29" s="54">
        <f t="shared" si="2"/>
        <v>-6.4013999995950144E-2</v>
      </c>
      <c r="J29" s="54">
        <f>+G29</f>
        <v>-6.4013999995950144E-2</v>
      </c>
      <c r="O29" s="54">
        <f t="shared" ca="1" si="3"/>
        <v>2.7122952677838597E-2</v>
      </c>
      <c r="Q29" s="77">
        <f t="shared" si="4"/>
        <v>34308.820299999999</v>
      </c>
    </row>
    <row r="30" spans="1:21" s="54" customFormat="1" ht="12.95" customHeight="1">
      <c r="A30" s="4" t="s">
        <v>33</v>
      </c>
      <c r="B30" s="5" t="s">
        <v>34</v>
      </c>
      <c r="C30" s="6">
        <v>49596.462899999999</v>
      </c>
      <c r="D30" s="6">
        <v>8.9999999999999998E-4</v>
      </c>
      <c r="E30" s="54">
        <f t="shared" si="0"/>
        <v>-8530.7381771389628</v>
      </c>
      <c r="F30" s="54">
        <f t="shared" si="1"/>
        <v>-8530.5</v>
      </c>
      <c r="I30" s="64"/>
      <c r="O30" s="54">
        <f t="shared" ca="1" si="3"/>
        <v>2.6254673231428837E-2</v>
      </c>
      <c r="Q30" s="77">
        <f t="shared" si="4"/>
        <v>34577.962899999999</v>
      </c>
      <c r="U30" s="54">
        <f>+C30-(C$7+F30*C$8)</f>
        <v>-0.11327799999708077</v>
      </c>
    </row>
    <row r="31" spans="1:21" s="54" customFormat="1" ht="12.95" customHeight="1">
      <c r="A31" s="4" t="s">
        <v>33</v>
      </c>
      <c r="B31" s="5" t="s">
        <v>34</v>
      </c>
      <c r="C31" s="6">
        <v>49596.518300000003</v>
      </c>
      <c r="D31" s="6">
        <v>5.9999999999999995E-4</v>
      </c>
      <c r="E31" s="54">
        <f t="shared" si="0"/>
        <v>-8530.6216936779219</v>
      </c>
      <c r="F31" s="54">
        <f t="shared" si="1"/>
        <v>-8530.5</v>
      </c>
      <c r="G31" s="54">
        <f t="shared" ref="G31:G46" si="5">+C31-(C$7+F31*C$8)</f>
        <v>-5.7877999992342666E-2</v>
      </c>
      <c r="J31" s="54">
        <f>+G31</f>
        <v>-5.7877999992342666E-2</v>
      </c>
      <c r="O31" s="54">
        <f t="shared" ca="1" si="3"/>
        <v>2.6254673231428837E-2</v>
      </c>
      <c r="Q31" s="77">
        <f t="shared" si="4"/>
        <v>34578.018300000003</v>
      </c>
    </row>
    <row r="32" spans="1:21" s="54" customFormat="1" ht="12.95" customHeight="1">
      <c r="A32" s="75" t="s">
        <v>112</v>
      </c>
      <c r="B32" s="76" t="s">
        <v>34</v>
      </c>
      <c r="C32" s="75">
        <v>50333.472000000002</v>
      </c>
      <c r="D32" s="80"/>
      <c r="E32" s="54">
        <f t="shared" si="0"/>
        <v>-6981.1105457481353</v>
      </c>
      <c r="F32" s="54">
        <f t="shared" si="1"/>
        <v>-6981</v>
      </c>
      <c r="G32" s="54">
        <f t="shared" si="5"/>
        <v>-5.2575999994587619E-2</v>
      </c>
      <c r="K32" s="54">
        <f>+G32</f>
        <v>-5.2575999994587619E-2</v>
      </c>
      <c r="O32" s="54">
        <f t="shared" ca="1" si="3"/>
        <v>2.3877643192185157E-2</v>
      </c>
      <c r="Q32" s="77">
        <f t="shared" si="4"/>
        <v>35314.972000000002</v>
      </c>
    </row>
    <row r="33" spans="1:21">
      <c r="A33" s="7" t="s">
        <v>38</v>
      </c>
      <c r="B33" s="12" t="s">
        <v>36</v>
      </c>
      <c r="C33" s="13">
        <v>52189.548799999997</v>
      </c>
      <c r="D33" s="13">
        <v>1.6000000000000001E-3</v>
      </c>
      <c r="E33">
        <f t="shared" si="0"/>
        <v>-3078.5428633905535</v>
      </c>
      <c r="F33">
        <f t="shared" si="1"/>
        <v>-3078.5</v>
      </c>
      <c r="G33">
        <f t="shared" si="5"/>
        <v>-2.0386000003782101E-2</v>
      </c>
      <c r="K33">
        <f>+G33</f>
        <v>-2.0386000003782101E-2</v>
      </c>
      <c r="O33">
        <f t="shared" ca="1" si="3"/>
        <v>1.7890963793573692E-2</v>
      </c>
      <c r="Q33" s="2">
        <f t="shared" si="4"/>
        <v>37171.048799999997</v>
      </c>
    </row>
    <row r="34" spans="1:21">
      <c r="A34" s="7" t="s">
        <v>37</v>
      </c>
      <c r="B34" s="12" t="s">
        <v>34</v>
      </c>
      <c r="C34" s="13">
        <v>52193.357300000003</v>
      </c>
      <c r="D34" s="7">
        <v>4.0000000000000002E-4</v>
      </c>
      <c r="E34">
        <f t="shared" si="0"/>
        <v>-3070.5351510920732</v>
      </c>
      <c r="F34">
        <f t="shared" si="1"/>
        <v>-3070.5</v>
      </c>
      <c r="G34">
        <f t="shared" si="5"/>
        <v>-1.6717999991669785E-2</v>
      </c>
      <c r="J34">
        <f>+G34</f>
        <v>-1.6717999991669785E-2</v>
      </c>
      <c r="O34">
        <f t="shared" ca="1" si="3"/>
        <v>1.7878691292564367E-2</v>
      </c>
      <c r="Q34" s="2">
        <f t="shared" si="4"/>
        <v>37174.857300000003</v>
      </c>
    </row>
    <row r="35" spans="1:21">
      <c r="A35" s="7" t="s">
        <v>38</v>
      </c>
      <c r="B35" s="14" t="s">
        <v>34</v>
      </c>
      <c r="C35" s="7">
        <v>52194.545899999997</v>
      </c>
      <c r="D35" s="7">
        <v>1.1999999999999999E-3</v>
      </c>
      <c r="E35">
        <f t="shared" si="0"/>
        <v>-3068.0360131538009</v>
      </c>
      <c r="F35">
        <f t="shared" si="1"/>
        <v>-3068</v>
      </c>
      <c r="G35">
        <f t="shared" si="5"/>
        <v>-1.7127999999502208E-2</v>
      </c>
      <c r="K35">
        <f t="shared" ref="K35:K45" si="6">+G35</f>
        <v>-1.7127999999502208E-2</v>
      </c>
      <c r="O35">
        <f t="shared" ca="1" si="3"/>
        <v>1.7874856135998953E-2</v>
      </c>
      <c r="Q35" s="2">
        <f t="shared" si="4"/>
        <v>37176.045899999997</v>
      </c>
    </row>
    <row r="36" spans="1:21">
      <c r="A36" s="10" t="s">
        <v>45</v>
      </c>
      <c r="B36" s="9" t="s">
        <v>36</v>
      </c>
      <c r="C36" s="11">
        <v>53271.808400000002</v>
      </c>
      <c r="D36" s="11">
        <v>6.9999999999999999E-4</v>
      </c>
      <c r="E36">
        <f t="shared" si="0"/>
        <v>-802.99513881295377</v>
      </c>
      <c r="F36">
        <f t="shared" si="1"/>
        <v>-803</v>
      </c>
      <c r="G36">
        <f t="shared" si="5"/>
        <v>2.3120000041672029E-3</v>
      </c>
      <c r="K36">
        <f t="shared" si="6"/>
        <v>2.3120000041672029E-3</v>
      </c>
      <c r="O36">
        <f t="shared" ca="1" si="3"/>
        <v>1.4400204287733748E-2</v>
      </c>
      <c r="Q36" s="2">
        <f t="shared" si="4"/>
        <v>38253.308400000002</v>
      </c>
    </row>
    <row r="37" spans="1:21">
      <c r="A37" s="10" t="s">
        <v>45</v>
      </c>
      <c r="B37" s="9" t="s">
        <v>36</v>
      </c>
      <c r="C37" s="11">
        <v>53273.710599999999</v>
      </c>
      <c r="D37" s="11">
        <v>8.9999999999999998E-4</v>
      </c>
      <c r="E37">
        <f t="shared" si="0"/>
        <v>-798.99559297230314</v>
      </c>
      <c r="F37">
        <f t="shared" si="1"/>
        <v>-799</v>
      </c>
      <c r="G37">
        <f t="shared" si="5"/>
        <v>2.0960000038030557E-3</v>
      </c>
      <c r="K37">
        <f t="shared" si="6"/>
        <v>2.0960000038030557E-3</v>
      </c>
      <c r="O37">
        <f t="shared" ca="1" si="3"/>
        <v>1.4394068037229086E-2</v>
      </c>
      <c r="Q37" s="2">
        <f t="shared" si="4"/>
        <v>38255.210599999999</v>
      </c>
    </row>
    <row r="38" spans="1:21">
      <c r="A38" s="10" t="s">
        <v>45</v>
      </c>
      <c r="B38" s="9" t="s">
        <v>36</v>
      </c>
      <c r="C38" s="11">
        <v>53274.660900000003</v>
      </c>
      <c r="D38" s="11">
        <v>8.0000000000000004E-4</v>
      </c>
      <c r="E38">
        <f t="shared" si="0"/>
        <v>-796.99750212360539</v>
      </c>
      <c r="F38">
        <f t="shared" si="1"/>
        <v>-797</v>
      </c>
      <c r="G38">
        <f t="shared" si="5"/>
        <v>1.1880000020028092E-3</v>
      </c>
      <c r="K38">
        <f t="shared" si="6"/>
        <v>1.1880000020028092E-3</v>
      </c>
      <c r="O38">
        <f t="shared" ca="1" si="3"/>
        <v>1.4390999911976754E-2</v>
      </c>
      <c r="Q38" s="2">
        <f t="shared" si="4"/>
        <v>38256.160900000003</v>
      </c>
    </row>
    <row r="39" spans="1:21">
      <c r="A39" s="10" t="s">
        <v>45</v>
      </c>
      <c r="B39" s="9" t="s">
        <v>36</v>
      </c>
      <c r="C39" s="11">
        <v>53283.697500000002</v>
      </c>
      <c r="D39" s="11">
        <v>6.9999999999999999E-4</v>
      </c>
      <c r="E39">
        <f t="shared" si="0"/>
        <v>-777.99724140250248</v>
      </c>
      <c r="F39">
        <f t="shared" si="1"/>
        <v>-778</v>
      </c>
      <c r="G39">
        <f t="shared" si="5"/>
        <v>1.3120000076014549E-3</v>
      </c>
      <c r="K39">
        <f t="shared" si="6"/>
        <v>1.3120000076014549E-3</v>
      </c>
      <c r="O39">
        <f t="shared" ca="1" si="3"/>
        <v>1.4361852722079606E-2</v>
      </c>
      <c r="Q39" s="2">
        <f t="shared" si="4"/>
        <v>38265.197500000002</v>
      </c>
    </row>
    <row r="40" spans="1:21">
      <c r="A40" s="10" t="s">
        <v>45</v>
      </c>
      <c r="B40" s="9" t="s">
        <v>34</v>
      </c>
      <c r="C40" s="11">
        <v>53286.787300000004</v>
      </c>
      <c r="D40" s="11">
        <v>6.9999999999999999E-4</v>
      </c>
      <c r="E40">
        <f t="shared" si="0"/>
        <v>-771.50066021310624</v>
      </c>
      <c r="F40">
        <f t="shared" si="1"/>
        <v>-771.5</v>
      </c>
      <c r="G40">
        <f t="shared" si="5"/>
        <v>-3.1399999716086313E-4</v>
      </c>
      <c r="K40">
        <f t="shared" si="6"/>
        <v>-3.1399999716086313E-4</v>
      </c>
      <c r="O40">
        <f t="shared" ca="1" si="3"/>
        <v>1.4351881315009529E-2</v>
      </c>
      <c r="Q40" s="2">
        <f t="shared" si="4"/>
        <v>38268.287300000004</v>
      </c>
    </row>
    <row r="41" spans="1:21">
      <c r="A41" s="10" t="s">
        <v>45</v>
      </c>
      <c r="B41" s="9" t="s">
        <v>34</v>
      </c>
      <c r="C41" s="11">
        <v>53287.741699999999</v>
      </c>
      <c r="D41" s="11">
        <v>8.9999999999999998E-4</v>
      </c>
      <c r="E41">
        <f t="shared" si="0"/>
        <v>-769.49394874727534</v>
      </c>
      <c r="F41">
        <f t="shared" si="1"/>
        <v>-769.5</v>
      </c>
      <c r="G41">
        <f t="shared" si="5"/>
        <v>2.8779999993275851E-3</v>
      </c>
      <c r="K41">
        <f t="shared" si="6"/>
        <v>2.8779999993275851E-3</v>
      </c>
      <c r="O41">
        <f t="shared" ca="1" si="3"/>
        <v>1.4348813189757198E-2</v>
      </c>
      <c r="Q41" s="2">
        <f t="shared" si="4"/>
        <v>38269.241699999999</v>
      </c>
    </row>
    <row r="42" spans="1:21">
      <c r="A42" s="10" t="s">
        <v>45</v>
      </c>
      <c r="B42" s="9" t="s">
        <v>34</v>
      </c>
      <c r="C42" s="11">
        <v>53288.694199999998</v>
      </c>
      <c r="D42" s="11">
        <v>1.1000000000000001E-3</v>
      </c>
      <c r="E42">
        <f t="shared" si="0"/>
        <v>-767.4912322015789</v>
      </c>
      <c r="F42">
        <f t="shared" si="1"/>
        <v>-767.5</v>
      </c>
      <c r="G42">
        <f t="shared" si="5"/>
        <v>4.1700000001583248E-3</v>
      </c>
      <c r="K42">
        <f t="shared" si="6"/>
        <v>4.1700000001583248E-3</v>
      </c>
      <c r="O42">
        <f t="shared" ca="1" si="3"/>
        <v>1.4345745064504867E-2</v>
      </c>
      <c r="Q42" s="2">
        <f t="shared" si="4"/>
        <v>38270.194199999998</v>
      </c>
    </row>
    <row r="43" spans="1:21">
      <c r="A43" s="10" t="s">
        <v>45</v>
      </c>
      <c r="B43" s="9" t="s">
        <v>34</v>
      </c>
      <c r="C43" s="11">
        <v>53289.643700000001</v>
      </c>
      <c r="D43" s="11">
        <v>5.0000000000000001E-4</v>
      </c>
      <c r="E43">
        <f t="shared" si="0"/>
        <v>-765.49482342452393</v>
      </c>
      <c r="F43">
        <f t="shared" si="1"/>
        <v>-765.5</v>
      </c>
      <c r="G43">
        <f t="shared" si="5"/>
        <v>2.4620000040158629E-3</v>
      </c>
      <c r="K43">
        <f t="shared" si="6"/>
        <v>2.4620000040158629E-3</v>
      </c>
      <c r="O43">
        <f t="shared" ca="1" si="3"/>
        <v>1.4342676939252536E-2</v>
      </c>
      <c r="Q43" s="2">
        <f t="shared" si="4"/>
        <v>38271.143700000001</v>
      </c>
    </row>
    <row r="44" spans="1:21">
      <c r="A44" s="10" t="s">
        <v>45</v>
      </c>
      <c r="B44" s="9" t="s">
        <v>36</v>
      </c>
      <c r="C44" s="11">
        <v>53302.721700000002</v>
      </c>
      <c r="D44" s="11">
        <v>1.1000000000000001E-3</v>
      </c>
      <c r="E44">
        <f t="shared" si="0"/>
        <v>-737.9971572989208</v>
      </c>
      <c r="F44">
        <f t="shared" si="1"/>
        <v>-738</v>
      </c>
      <c r="G44">
        <f t="shared" si="5"/>
        <v>1.3520000065909699E-3</v>
      </c>
      <c r="K44">
        <f t="shared" si="6"/>
        <v>1.3520000065909699E-3</v>
      </c>
      <c r="O44">
        <f t="shared" ca="1" si="3"/>
        <v>1.4300490217032981E-2</v>
      </c>
      <c r="Q44" s="2">
        <f t="shared" si="4"/>
        <v>38284.221700000002</v>
      </c>
    </row>
    <row r="45" spans="1:21">
      <c r="A45" s="10" t="s">
        <v>45</v>
      </c>
      <c r="B45" s="9" t="s">
        <v>34</v>
      </c>
      <c r="C45" s="11">
        <v>53338.629500000003</v>
      </c>
      <c r="D45" s="11">
        <v>5.9999999999999995E-4</v>
      </c>
      <c r="E45">
        <f t="shared" si="0"/>
        <v>-662.49779228096293</v>
      </c>
      <c r="F45">
        <f t="shared" si="1"/>
        <v>-662.5</v>
      </c>
      <c r="G45">
        <f t="shared" si="5"/>
        <v>1.0500000062165782E-3</v>
      </c>
      <c r="K45">
        <f t="shared" si="6"/>
        <v>1.0500000062165782E-3</v>
      </c>
      <c r="O45">
        <f t="shared" ca="1" si="3"/>
        <v>1.4184668488757473E-2</v>
      </c>
      <c r="Q45" s="2">
        <f t="shared" si="4"/>
        <v>38320.129500000003</v>
      </c>
    </row>
    <row r="46" spans="1:21">
      <c r="A46" s="32" t="s">
        <v>232</v>
      </c>
      <c r="B46" s="33" t="s">
        <v>34</v>
      </c>
      <c r="C46" s="32">
        <v>53642.540500000003</v>
      </c>
      <c r="D46" s="19"/>
      <c r="E46">
        <f t="shared" si="0"/>
        <v>-23.497699767022624</v>
      </c>
      <c r="F46">
        <f t="shared" si="1"/>
        <v>-23.5</v>
      </c>
      <c r="G46">
        <f t="shared" si="5"/>
        <v>1.0940000065602362E-3</v>
      </c>
      <c r="J46">
        <f>+G46</f>
        <v>1.0940000065602362E-3</v>
      </c>
      <c r="O46">
        <f t="shared" ca="1" si="3"/>
        <v>1.320440247063762E-2</v>
      </c>
      <c r="Q46" s="2">
        <f t="shared" si="4"/>
        <v>38624.040500000003</v>
      </c>
    </row>
    <row r="47" spans="1:21">
      <c r="A47" s="32" t="s">
        <v>232</v>
      </c>
      <c r="B47" s="33" t="s">
        <v>36</v>
      </c>
      <c r="C47" s="32">
        <v>53709.3197</v>
      </c>
      <c r="D47" s="19"/>
      <c r="E47">
        <f t="shared" si="0"/>
        <v>116.91154826284512</v>
      </c>
      <c r="F47">
        <f t="shared" si="1"/>
        <v>117</v>
      </c>
      <c r="O47">
        <f t="shared" ca="1" si="3"/>
        <v>1.2988866671661346E-2</v>
      </c>
      <c r="Q47" s="2">
        <f t="shared" si="4"/>
        <v>38690.8197</v>
      </c>
      <c r="U47">
        <f>+C47-(C$7+F47*C$8)</f>
        <v>-4.2067999995197169E-2</v>
      </c>
    </row>
    <row r="48" spans="1:21">
      <c r="A48" s="10" t="s">
        <v>45</v>
      </c>
      <c r="B48" s="9" t="s">
        <v>36</v>
      </c>
      <c r="C48" s="11">
        <v>53994.729299999999</v>
      </c>
      <c r="D48" s="11">
        <v>5.9999999999999995E-4</v>
      </c>
      <c r="E48">
        <f t="shared" si="0"/>
        <v>717.01079048956956</v>
      </c>
      <c r="F48">
        <f t="shared" si="1"/>
        <v>717</v>
      </c>
      <c r="G48">
        <f t="shared" ref="G48:G83" si="7">+C48-(C$7+F48*C$8)</f>
        <v>5.1319999984116293E-3</v>
      </c>
      <c r="K48">
        <f>+G48</f>
        <v>5.1319999984116293E-3</v>
      </c>
      <c r="O48">
        <f t="shared" ca="1" si="3"/>
        <v>1.2068429095961954E-2</v>
      </c>
      <c r="Q48" s="2">
        <f t="shared" si="4"/>
        <v>38976.229299999999</v>
      </c>
    </row>
    <row r="49" spans="1:17">
      <c r="A49" s="32" t="s">
        <v>187</v>
      </c>
      <c r="B49" s="33" t="s">
        <v>36</v>
      </c>
      <c r="C49" s="32">
        <v>54006.143300000003</v>
      </c>
      <c r="D49" s="19"/>
      <c r="E49">
        <f t="shared" si="0"/>
        <v>741.00974760516215</v>
      </c>
      <c r="F49">
        <f t="shared" si="1"/>
        <v>741</v>
      </c>
      <c r="G49">
        <f t="shared" si="7"/>
        <v>4.6360000051208772E-3</v>
      </c>
      <c r="K49">
        <f>+G49</f>
        <v>4.6360000051208772E-3</v>
      </c>
      <c r="O49">
        <f t="shared" ca="1" si="3"/>
        <v>1.2031611592933977E-2</v>
      </c>
      <c r="Q49" s="2">
        <f t="shared" si="4"/>
        <v>38987.643300000003</v>
      </c>
    </row>
    <row r="50" spans="1:17">
      <c r="A50" s="11" t="s">
        <v>46</v>
      </c>
      <c r="B50" s="9" t="s">
        <v>34</v>
      </c>
      <c r="C50" s="11">
        <v>54417.303200000002</v>
      </c>
      <c r="D50" s="11">
        <v>5.0000000000000001E-4</v>
      </c>
      <c r="E50">
        <f t="shared" si="0"/>
        <v>1605.5102564318304</v>
      </c>
      <c r="F50">
        <f t="shared" si="1"/>
        <v>1605.5</v>
      </c>
      <c r="G50">
        <f t="shared" si="7"/>
        <v>4.8780000070109963E-3</v>
      </c>
      <c r="J50">
        <f>+G50</f>
        <v>4.8780000070109963E-3</v>
      </c>
      <c r="O50">
        <f t="shared" ca="1" si="3"/>
        <v>1.0705414452613769E-2</v>
      </c>
      <c r="Q50" s="2">
        <f t="shared" si="4"/>
        <v>39398.803200000002</v>
      </c>
    </row>
    <row r="51" spans="1:17">
      <c r="A51" s="11" t="s">
        <v>46</v>
      </c>
      <c r="B51" s="9" t="s">
        <v>36</v>
      </c>
      <c r="C51" s="11">
        <v>54763.304100000001</v>
      </c>
      <c r="D51" s="11">
        <v>5.9999999999999995E-4</v>
      </c>
      <c r="E51">
        <f t="shared" si="0"/>
        <v>2333.0081328163837</v>
      </c>
      <c r="F51">
        <f t="shared" si="1"/>
        <v>2333</v>
      </c>
      <c r="G51">
        <f t="shared" si="7"/>
        <v>3.8680000070598908E-3</v>
      </c>
      <c r="J51">
        <f>+G51</f>
        <v>3.8680000070598908E-3</v>
      </c>
      <c r="O51">
        <f t="shared" ca="1" si="3"/>
        <v>9.5893838920782567E-3</v>
      </c>
      <c r="Q51" s="2">
        <f t="shared" si="4"/>
        <v>39744.804100000001</v>
      </c>
    </row>
    <row r="52" spans="1:17">
      <c r="A52" s="11" t="s">
        <v>46</v>
      </c>
      <c r="B52" s="9" t="s">
        <v>34</v>
      </c>
      <c r="C52" s="11">
        <v>54764.498399999997</v>
      </c>
      <c r="D52" s="11">
        <v>6.9999999999999999E-4</v>
      </c>
      <c r="E52">
        <f t="shared" si="0"/>
        <v>2335.5192555150902</v>
      </c>
      <c r="F52">
        <f t="shared" si="1"/>
        <v>2335.5</v>
      </c>
      <c r="G52">
        <f t="shared" si="7"/>
        <v>9.1580000007525086E-3</v>
      </c>
      <c r="J52">
        <f>+G52</f>
        <v>9.1580000007525086E-3</v>
      </c>
      <c r="O52">
        <f t="shared" ca="1" si="3"/>
        <v>9.5855487355128426E-3</v>
      </c>
      <c r="Q52" s="2">
        <f t="shared" si="4"/>
        <v>39745.998399999997</v>
      </c>
    </row>
    <row r="53" spans="1:17">
      <c r="A53" s="32" t="s">
        <v>210</v>
      </c>
      <c r="B53" s="33" t="s">
        <v>36</v>
      </c>
      <c r="C53" s="32">
        <v>54848.915500000003</v>
      </c>
      <c r="D53" s="19"/>
      <c r="E53">
        <f t="shared" ref="E53:E83" si="8">+(C53-C$7)/C$8</f>
        <v>2513.0137677563789</v>
      </c>
      <c r="F53">
        <f t="shared" ref="F53:F83" si="9">ROUND(2*E53,0)/2</f>
        <v>2513</v>
      </c>
      <c r="G53">
        <f t="shared" si="7"/>
        <v>6.5480000048410147E-3</v>
      </c>
      <c r="K53">
        <f t="shared" ref="K53:K83" si="10">+G53</f>
        <v>6.5480000048410147E-3</v>
      </c>
      <c r="O53">
        <f t="shared" ref="O53:O83" ca="1" si="11">+C$11+C$12*$F53</f>
        <v>9.3132526193684395E-3</v>
      </c>
      <c r="Q53" s="2">
        <f t="shared" ref="Q53:Q83" si="12">+C53-15018.5</f>
        <v>39830.415500000003</v>
      </c>
    </row>
    <row r="54" spans="1:17">
      <c r="A54" s="32" t="s">
        <v>216</v>
      </c>
      <c r="B54" s="33" t="s">
        <v>36</v>
      </c>
      <c r="C54" s="32">
        <v>55510.949500000002</v>
      </c>
      <c r="D54" s="19"/>
      <c r="E54">
        <f t="shared" si="8"/>
        <v>3904.9995374303085</v>
      </c>
      <c r="F54">
        <f t="shared" si="9"/>
        <v>3905</v>
      </c>
      <c r="G54">
        <f t="shared" si="7"/>
        <v>-2.1999999444233254E-4</v>
      </c>
      <c r="K54">
        <f t="shared" si="10"/>
        <v>-2.1999999444233254E-4</v>
      </c>
      <c r="O54">
        <f t="shared" ca="1" si="11"/>
        <v>7.1778374437458494E-3</v>
      </c>
      <c r="Q54" s="2">
        <f t="shared" si="12"/>
        <v>40492.449500000002</v>
      </c>
    </row>
    <row r="55" spans="1:17">
      <c r="A55" s="32" t="s">
        <v>221</v>
      </c>
      <c r="B55" s="33" t="s">
        <v>36</v>
      </c>
      <c r="C55" s="32">
        <v>55891.913099999998</v>
      </c>
      <c r="D55" s="19"/>
      <c r="E55">
        <f t="shared" si="8"/>
        <v>4706.0096214497771</v>
      </c>
      <c r="F55">
        <f t="shared" si="9"/>
        <v>4706</v>
      </c>
      <c r="G55">
        <f t="shared" si="7"/>
        <v>4.5759999993606471E-3</v>
      </c>
      <c r="K55">
        <f t="shared" si="10"/>
        <v>4.5759999993606471E-3</v>
      </c>
      <c r="O55">
        <f t="shared" ca="1" si="11"/>
        <v>5.949053280187161E-3</v>
      </c>
      <c r="Q55" s="2">
        <f t="shared" si="12"/>
        <v>40873.413099999998</v>
      </c>
    </row>
    <row r="56" spans="1:17">
      <c r="A56" s="32" t="s">
        <v>226</v>
      </c>
      <c r="B56" s="33" t="s">
        <v>36</v>
      </c>
      <c r="C56" s="32">
        <v>56241.9568</v>
      </c>
      <c r="D56" s="19"/>
      <c r="E56">
        <f t="shared" si="8"/>
        <v>5442.0078468642023</v>
      </c>
      <c r="F56">
        <f t="shared" si="9"/>
        <v>5442</v>
      </c>
      <c r="G56">
        <f t="shared" si="7"/>
        <v>3.7320000046747737E-3</v>
      </c>
      <c r="K56">
        <f t="shared" si="10"/>
        <v>3.7320000046747737E-3</v>
      </c>
      <c r="O56">
        <f t="shared" ca="1" si="11"/>
        <v>4.8199831873292388E-3</v>
      </c>
      <c r="Q56" s="2">
        <f t="shared" si="12"/>
        <v>41223.4568</v>
      </c>
    </row>
    <row r="57" spans="1:17">
      <c r="A57" s="15" t="s">
        <v>49</v>
      </c>
      <c r="B57" s="16" t="s">
        <v>36</v>
      </c>
      <c r="C57" s="17">
        <v>56563.466569999997</v>
      </c>
      <c r="D57" s="15">
        <v>1E-4</v>
      </c>
      <c r="E57">
        <f t="shared" si="8"/>
        <v>6118.0109292604748</v>
      </c>
      <c r="F57">
        <f t="shared" si="9"/>
        <v>6118</v>
      </c>
      <c r="G57">
        <f t="shared" si="7"/>
        <v>5.1979999989271164E-3</v>
      </c>
      <c r="K57">
        <f t="shared" si="10"/>
        <v>5.1979999989271164E-3</v>
      </c>
      <c r="O57">
        <f t="shared" ca="1" si="11"/>
        <v>3.7829568520412575E-3</v>
      </c>
      <c r="Q57" s="2">
        <f t="shared" si="12"/>
        <v>41544.966569999997</v>
      </c>
    </row>
    <row r="58" spans="1:17">
      <c r="A58" s="37" t="s">
        <v>2</v>
      </c>
      <c r="B58" s="38" t="s">
        <v>34</v>
      </c>
      <c r="C58" s="37">
        <v>56917.077399999835</v>
      </c>
      <c r="D58" s="37" t="s">
        <v>208</v>
      </c>
      <c r="E58">
        <f t="shared" si="8"/>
        <v>6861.5093649335086</v>
      </c>
      <c r="F58">
        <f t="shared" si="9"/>
        <v>6861.5</v>
      </c>
      <c r="G58">
        <f t="shared" si="7"/>
        <v>4.4539998343680054E-3</v>
      </c>
      <c r="K58">
        <f t="shared" si="10"/>
        <v>4.4539998343680054E-3</v>
      </c>
      <c r="O58">
        <f t="shared" ca="1" si="11"/>
        <v>2.6423812894870932E-3</v>
      </c>
      <c r="Q58" s="2">
        <f t="shared" si="12"/>
        <v>41898.577399999835</v>
      </c>
    </row>
    <row r="59" spans="1:17">
      <c r="A59" s="32" t="s">
        <v>231</v>
      </c>
      <c r="B59" s="33" t="s">
        <v>34</v>
      </c>
      <c r="C59" s="32">
        <v>56917.077400000002</v>
      </c>
      <c r="D59" s="19"/>
      <c r="E59">
        <f t="shared" si="8"/>
        <v>6861.5093649338605</v>
      </c>
      <c r="F59">
        <f t="shared" si="9"/>
        <v>6861.5</v>
      </c>
      <c r="G59">
        <f t="shared" si="7"/>
        <v>4.4540000017150305E-3</v>
      </c>
      <c r="K59">
        <f t="shared" si="10"/>
        <v>4.4540000017150305E-3</v>
      </c>
      <c r="O59">
        <f t="shared" ca="1" si="11"/>
        <v>2.6423812894870932E-3</v>
      </c>
      <c r="Q59" s="2">
        <f t="shared" si="12"/>
        <v>41898.577400000002</v>
      </c>
    </row>
    <row r="60" spans="1:17">
      <c r="A60" s="34" t="s">
        <v>234</v>
      </c>
      <c r="B60" s="35" t="s">
        <v>36</v>
      </c>
      <c r="C60" s="36">
        <v>57343.458500000001</v>
      </c>
      <c r="D60" s="36">
        <v>2.7000000000000001E-3</v>
      </c>
      <c r="E60">
        <f t="shared" si="8"/>
        <v>7758.0138098081652</v>
      </c>
      <c r="F60">
        <f t="shared" si="9"/>
        <v>7758</v>
      </c>
      <c r="G60">
        <f t="shared" si="7"/>
        <v>6.5680000043357722E-3</v>
      </c>
      <c r="K60">
        <f t="shared" si="10"/>
        <v>6.5680000043357722E-3</v>
      </c>
      <c r="O60">
        <f t="shared" ca="1" si="11"/>
        <v>1.2670941451295853E-3</v>
      </c>
      <c r="Q60" s="2">
        <f t="shared" si="12"/>
        <v>42324.958500000001</v>
      </c>
    </row>
    <row r="61" spans="1:17">
      <c r="A61" s="37" t="s">
        <v>1</v>
      </c>
      <c r="B61" s="38" t="s">
        <v>36</v>
      </c>
      <c r="C61" s="37">
        <v>57682.086000000003</v>
      </c>
      <c r="D61" s="37" t="s">
        <v>101</v>
      </c>
      <c r="E61">
        <f t="shared" si="8"/>
        <v>8470.0084524099984</v>
      </c>
      <c r="F61">
        <f t="shared" si="9"/>
        <v>8470</v>
      </c>
      <c r="G61">
        <f t="shared" si="7"/>
        <v>4.0200000075856224E-3</v>
      </c>
      <c r="K61">
        <f t="shared" si="10"/>
        <v>4.0200000075856224E-3</v>
      </c>
      <c r="O61">
        <f t="shared" ca="1" si="11"/>
        <v>1.7484155529963984E-4</v>
      </c>
      <c r="Q61" s="2">
        <f t="shared" si="12"/>
        <v>42663.586000000003</v>
      </c>
    </row>
    <row r="62" spans="1:17">
      <c r="A62" s="37" t="s">
        <v>1</v>
      </c>
      <c r="B62" s="38" t="s">
        <v>36</v>
      </c>
      <c r="C62" s="37">
        <v>57682.088100000001</v>
      </c>
      <c r="D62" s="37" t="s">
        <v>59</v>
      </c>
      <c r="E62">
        <f t="shared" si="8"/>
        <v>8470.0128678480469</v>
      </c>
      <c r="F62">
        <f t="shared" si="9"/>
        <v>8470</v>
      </c>
      <c r="G62">
        <f t="shared" si="7"/>
        <v>6.1200000054668635E-3</v>
      </c>
      <c r="K62">
        <f t="shared" si="10"/>
        <v>6.1200000054668635E-3</v>
      </c>
      <c r="O62">
        <f t="shared" ca="1" si="11"/>
        <v>1.7484155529963984E-4</v>
      </c>
      <c r="Q62" s="2">
        <f t="shared" si="12"/>
        <v>42663.588100000001</v>
      </c>
    </row>
    <row r="63" spans="1:17">
      <c r="A63" s="37" t="s">
        <v>1</v>
      </c>
      <c r="B63" s="38" t="s">
        <v>36</v>
      </c>
      <c r="C63" s="37">
        <v>57682.088400000001</v>
      </c>
      <c r="D63" s="37" t="s">
        <v>208</v>
      </c>
      <c r="E63">
        <f t="shared" si="8"/>
        <v>8470.0134986249122</v>
      </c>
      <c r="F63">
        <f t="shared" si="9"/>
        <v>8470</v>
      </c>
      <c r="G63">
        <f t="shared" si="7"/>
        <v>6.4200000051641837E-3</v>
      </c>
      <c r="K63">
        <f t="shared" si="10"/>
        <v>6.4200000051641837E-3</v>
      </c>
      <c r="O63">
        <f t="shared" ca="1" si="11"/>
        <v>1.7484155529963984E-4</v>
      </c>
      <c r="Q63" s="2">
        <f t="shared" si="12"/>
        <v>42663.588400000001</v>
      </c>
    </row>
    <row r="64" spans="1:17">
      <c r="A64" s="37" t="s">
        <v>1</v>
      </c>
      <c r="B64" s="38" t="s">
        <v>34</v>
      </c>
      <c r="C64" s="37">
        <v>57698.017899999999</v>
      </c>
      <c r="D64" s="37" t="s">
        <v>59</v>
      </c>
      <c r="E64">
        <f t="shared" si="8"/>
        <v>8503.5066988503058</v>
      </c>
      <c r="F64">
        <f t="shared" si="9"/>
        <v>8503.5</v>
      </c>
      <c r="G64">
        <f t="shared" si="7"/>
        <v>3.1860000017331913E-3</v>
      </c>
      <c r="K64">
        <f t="shared" si="10"/>
        <v>3.1860000017331913E-3</v>
      </c>
      <c r="O64">
        <f t="shared" ca="1" si="11"/>
        <v>1.2345045732308976E-4</v>
      </c>
      <c r="Q64" s="2">
        <f t="shared" si="12"/>
        <v>42679.517899999999</v>
      </c>
    </row>
    <row r="65" spans="1:17">
      <c r="A65" s="37" t="s">
        <v>1</v>
      </c>
      <c r="B65" s="38" t="s">
        <v>34</v>
      </c>
      <c r="C65" s="37">
        <v>57698.018300000003</v>
      </c>
      <c r="D65" s="37" t="s">
        <v>101</v>
      </c>
      <c r="E65">
        <f t="shared" si="8"/>
        <v>8503.5075398861354</v>
      </c>
      <c r="F65">
        <f t="shared" si="9"/>
        <v>8503.5</v>
      </c>
      <c r="G65">
        <f t="shared" si="7"/>
        <v>3.5860000061802566E-3</v>
      </c>
      <c r="K65">
        <f t="shared" si="10"/>
        <v>3.5860000061802566E-3</v>
      </c>
      <c r="O65">
        <f t="shared" ca="1" si="11"/>
        <v>1.2345045732308976E-4</v>
      </c>
      <c r="Q65" s="2">
        <f t="shared" si="12"/>
        <v>42679.518300000003</v>
      </c>
    </row>
    <row r="66" spans="1:17">
      <c r="A66" s="37" t="s">
        <v>1</v>
      </c>
      <c r="B66" s="38" t="s">
        <v>34</v>
      </c>
      <c r="C66" s="37">
        <v>57698.019399999997</v>
      </c>
      <c r="D66" s="37" t="s">
        <v>208</v>
      </c>
      <c r="E66">
        <f t="shared" si="8"/>
        <v>8503.5098527346272</v>
      </c>
      <c r="F66">
        <f t="shared" si="9"/>
        <v>8503.5</v>
      </c>
      <c r="G66">
        <f t="shared" si="7"/>
        <v>4.6860000002197921E-3</v>
      </c>
      <c r="K66">
        <f t="shared" si="10"/>
        <v>4.6860000002197921E-3</v>
      </c>
      <c r="O66">
        <f t="shared" ca="1" si="11"/>
        <v>1.2345045732308976E-4</v>
      </c>
      <c r="Q66" s="2">
        <f t="shared" si="12"/>
        <v>42679.519399999997</v>
      </c>
    </row>
    <row r="67" spans="1:17">
      <c r="A67" s="39" t="s">
        <v>0</v>
      </c>
      <c r="B67" s="40" t="s">
        <v>34</v>
      </c>
      <c r="C67" s="39">
        <v>57741.2984</v>
      </c>
      <c r="D67" s="39">
        <v>1E-4</v>
      </c>
      <c r="E67">
        <f t="shared" si="8"/>
        <v>8594.5078258383055</v>
      </c>
      <c r="F67">
        <f t="shared" si="9"/>
        <v>8594.5</v>
      </c>
      <c r="G67">
        <f t="shared" si="7"/>
        <v>3.7220000012894161E-3</v>
      </c>
      <c r="K67">
        <f t="shared" si="10"/>
        <v>3.7220000012894161E-3</v>
      </c>
      <c r="O67">
        <f t="shared" ca="1" si="11"/>
        <v>-1.6149241657983579E-5</v>
      </c>
      <c r="Q67" s="2">
        <f t="shared" si="12"/>
        <v>42722.7984</v>
      </c>
    </row>
    <row r="68" spans="1:17">
      <c r="A68" s="41" t="s">
        <v>235</v>
      </c>
      <c r="B68" s="42" t="s">
        <v>36</v>
      </c>
      <c r="C68" s="43">
        <v>58755.5196</v>
      </c>
      <c r="D68" s="43">
        <v>2.0000000000000001E-4</v>
      </c>
      <c r="E68">
        <f t="shared" si="8"/>
        <v>10726.998721625558</v>
      </c>
      <c r="F68">
        <f t="shared" si="9"/>
        <v>10727</v>
      </c>
      <c r="G68">
        <f t="shared" si="7"/>
        <v>-6.0800000210292637E-4</v>
      </c>
      <c r="K68">
        <f t="shared" si="10"/>
        <v>-6.0800000210292637E-4</v>
      </c>
      <c r="O68">
        <f t="shared" ca="1" si="11"/>
        <v>-3.2875377919562403E-3</v>
      </c>
      <c r="Q68" s="2">
        <f t="shared" si="12"/>
        <v>43737.0196</v>
      </c>
    </row>
    <row r="69" spans="1:17">
      <c r="A69" s="44" t="s">
        <v>237</v>
      </c>
      <c r="B69" s="45" t="s">
        <v>36</v>
      </c>
      <c r="C69" s="81">
        <v>58755.5196</v>
      </c>
      <c r="D69" s="44">
        <v>2.0000000000000001E-4</v>
      </c>
      <c r="E69">
        <f t="shared" si="8"/>
        <v>10726.998721625558</v>
      </c>
      <c r="F69">
        <f t="shared" si="9"/>
        <v>10727</v>
      </c>
      <c r="G69">
        <f t="shared" si="7"/>
        <v>-6.0800000210292637E-4</v>
      </c>
      <c r="K69">
        <f t="shared" si="10"/>
        <v>-6.0800000210292637E-4</v>
      </c>
      <c r="O69">
        <f t="shared" ca="1" si="11"/>
        <v>-3.2875377919562403E-3</v>
      </c>
      <c r="Q69" s="2">
        <f t="shared" si="12"/>
        <v>43737.0196</v>
      </c>
    </row>
    <row r="70" spans="1:17">
      <c r="A70" s="41" t="s">
        <v>236</v>
      </c>
      <c r="B70" s="42" t="s">
        <v>34</v>
      </c>
      <c r="C70" s="43">
        <v>59090.105000000003</v>
      </c>
      <c r="D70" s="43" t="s">
        <v>59</v>
      </c>
      <c r="E70">
        <f t="shared" si="8"/>
        <v>11430.494487010212</v>
      </c>
      <c r="F70">
        <f t="shared" si="9"/>
        <v>11430.5</v>
      </c>
      <c r="G70">
        <f t="shared" si="7"/>
        <v>-2.6219999926979654E-3</v>
      </c>
      <c r="K70">
        <f t="shared" si="10"/>
        <v>-2.6219999926979654E-3</v>
      </c>
      <c r="O70">
        <f t="shared" ca="1" si="11"/>
        <v>-4.3667508494637797E-3</v>
      </c>
      <c r="Q70" s="2">
        <f t="shared" si="12"/>
        <v>44071.605000000003</v>
      </c>
    </row>
    <row r="71" spans="1:17">
      <c r="A71" s="41" t="s">
        <v>236</v>
      </c>
      <c r="B71" s="42" t="s">
        <v>34</v>
      </c>
      <c r="C71" s="43">
        <v>59090.105000000003</v>
      </c>
      <c r="D71" s="43" t="s">
        <v>208</v>
      </c>
      <c r="E71">
        <f t="shared" si="8"/>
        <v>11430.494487010212</v>
      </c>
      <c r="F71">
        <f t="shared" si="9"/>
        <v>11430.5</v>
      </c>
      <c r="G71">
        <f t="shared" si="7"/>
        <v>-2.6219999926979654E-3</v>
      </c>
      <c r="K71">
        <f t="shared" si="10"/>
        <v>-2.6219999926979654E-3</v>
      </c>
      <c r="O71">
        <f t="shared" ca="1" si="11"/>
        <v>-4.3667508494637797E-3</v>
      </c>
      <c r="Q71" s="2">
        <f t="shared" si="12"/>
        <v>44071.605000000003</v>
      </c>
    </row>
    <row r="72" spans="1:17" s="49" customFormat="1" ht="12" customHeight="1">
      <c r="A72" s="41" t="s">
        <v>236</v>
      </c>
      <c r="B72" s="42" t="s">
        <v>34</v>
      </c>
      <c r="C72" s="43">
        <v>59090.110999999997</v>
      </c>
      <c r="D72" s="43" t="s">
        <v>101</v>
      </c>
      <c r="E72" s="49">
        <f t="shared" si="8"/>
        <v>11430.507102547495</v>
      </c>
      <c r="F72" s="49">
        <f t="shared" si="9"/>
        <v>11430.5</v>
      </c>
      <c r="G72" s="49">
        <f t="shared" si="7"/>
        <v>3.3780000012484379E-3</v>
      </c>
      <c r="K72" s="49">
        <f t="shared" si="10"/>
        <v>3.3780000012484379E-3</v>
      </c>
      <c r="O72" s="49">
        <f t="shared" ca="1" si="11"/>
        <v>-4.3667508494637797E-3</v>
      </c>
      <c r="Q72" s="50">
        <f t="shared" si="12"/>
        <v>44071.610999999997</v>
      </c>
    </row>
    <row r="73" spans="1:17" s="49" customFormat="1" ht="12" customHeight="1">
      <c r="A73" s="46" t="s">
        <v>238</v>
      </c>
      <c r="B73" s="45" t="s">
        <v>36</v>
      </c>
      <c r="C73" s="81">
        <v>59175.475299999998</v>
      </c>
      <c r="D73" s="44">
        <v>1.5E-3</v>
      </c>
      <c r="E73" s="49">
        <f t="shared" si="8"/>
        <v>11609.99318760986</v>
      </c>
      <c r="F73" s="49">
        <f t="shared" si="9"/>
        <v>11610</v>
      </c>
      <c r="G73" s="49">
        <f t="shared" si="7"/>
        <v>-3.2399999981862493E-3</v>
      </c>
      <c r="K73" s="49">
        <f t="shared" si="10"/>
        <v>-3.2399999981862493E-3</v>
      </c>
      <c r="O73" s="49">
        <f t="shared" ca="1" si="11"/>
        <v>-4.6421150908605123E-3</v>
      </c>
      <c r="Q73" s="50">
        <f t="shared" si="12"/>
        <v>44156.975299999998</v>
      </c>
    </row>
    <row r="74" spans="1:17" s="49" customFormat="1" ht="12" customHeight="1">
      <c r="A74" s="46" t="s">
        <v>239</v>
      </c>
      <c r="B74" s="45" t="s">
        <v>36</v>
      </c>
      <c r="C74" s="81">
        <v>59414.225000000093</v>
      </c>
      <c r="D74" s="44" t="s">
        <v>101</v>
      </c>
      <c r="E74" s="49">
        <f t="shared" si="8"/>
        <v>12111.985811725921</v>
      </c>
      <c r="F74" s="49">
        <f t="shared" si="9"/>
        <v>12112</v>
      </c>
      <c r="G74" s="49">
        <f t="shared" si="7"/>
        <v>-6.7479999052011408E-3</v>
      </c>
      <c r="K74" s="49">
        <f t="shared" si="10"/>
        <v>-6.7479999052011408E-3</v>
      </c>
      <c r="O74" s="49">
        <f t="shared" ca="1" si="11"/>
        <v>-5.4122145291956719E-3</v>
      </c>
      <c r="Q74" s="50">
        <f t="shared" si="12"/>
        <v>44395.725000000093</v>
      </c>
    </row>
    <row r="75" spans="1:17" s="49" customFormat="1" ht="12" customHeight="1">
      <c r="A75" s="46" t="s">
        <v>239</v>
      </c>
      <c r="B75" s="45" t="s">
        <v>36</v>
      </c>
      <c r="C75" s="81">
        <v>59414.226999999955</v>
      </c>
      <c r="D75" s="44" t="s">
        <v>59</v>
      </c>
      <c r="E75" s="49">
        <f t="shared" si="8"/>
        <v>12111.990016904731</v>
      </c>
      <c r="F75" s="49">
        <f t="shared" si="9"/>
        <v>12112</v>
      </c>
      <c r="G75" s="49">
        <f t="shared" si="7"/>
        <v>-4.7480000430368818E-3</v>
      </c>
      <c r="K75" s="49">
        <f t="shared" si="10"/>
        <v>-4.7480000430368818E-3</v>
      </c>
      <c r="O75" s="49">
        <f t="shared" ca="1" si="11"/>
        <v>-5.4122145291956719E-3</v>
      </c>
      <c r="Q75" s="50">
        <f t="shared" si="12"/>
        <v>44395.726999999955</v>
      </c>
    </row>
    <row r="76" spans="1:17" s="49" customFormat="1" ht="12" customHeight="1">
      <c r="A76" s="46" t="s">
        <v>239</v>
      </c>
      <c r="B76" s="45" t="s">
        <v>36</v>
      </c>
      <c r="C76" s="81">
        <v>59414.228000000119</v>
      </c>
      <c r="D76" s="44" t="s">
        <v>208</v>
      </c>
      <c r="E76" s="49">
        <f t="shared" si="8"/>
        <v>12111.992119494624</v>
      </c>
      <c r="F76" s="49">
        <f t="shared" si="9"/>
        <v>12112</v>
      </c>
      <c r="G76" s="49">
        <f t="shared" si="7"/>
        <v>-3.7479998791241087E-3</v>
      </c>
      <c r="K76" s="49">
        <f t="shared" si="10"/>
        <v>-3.7479998791241087E-3</v>
      </c>
      <c r="O76" s="49">
        <f t="shared" ca="1" si="11"/>
        <v>-5.4122145291956719E-3</v>
      </c>
      <c r="Q76" s="50">
        <f t="shared" si="12"/>
        <v>44395.728000000119</v>
      </c>
    </row>
    <row r="77" spans="1:17" s="49" customFormat="1" ht="12" customHeight="1">
      <c r="A77" s="46" t="s">
        <v>239</v>
      </c>
      <c r="B77" s="45" t="s">
        <v>36</v>
      </c>
      <c r="C77" s="81">
        <v>59428.259099999908</v>
      </c>
      <c r="D77" s="44" t="s">
        <v>208</v>
      </c>
      <c r="E77" s="49">
        <f t="shared" si="8"/>
        <v>12141.493763719209</v>
      </c>
      <c r="F77" s="49">
        <f t="shared" si="9"/>
        <v>12141.5</v>
      </c>
      <c r="G77" s="49">
        <f t="shared" si="7"/>
        <v>-2.9660000873263925E-3</v>
      </c>
      <c r="K77" s="49">
        <f t="shared" si="10"/>
        <v>-2.9660000873263925E-3</v>
      </c>
      <c r="O77" s="49">
        <f t="shared" ca="1" si="11"/>
        <v>-5.4574693766675578E-3</v>
      </c>
      <c r="Q77" s="50">
        <f t="shared" si="12"/>
        <v>44409.759099999908</v>
      </c>
    </row>
    <row r="78" spans="1:17" s="49" customFormat="1" ht="12" customHeight="1">
      <c r="A78" s="46" t="s">
        <v>239</v>
      </c>
      <c r="B78" s="45" t="s">
        <v>36</v>
      </c>
      <c r="C78" s="81">
        <v>59511.011799999978</v>
      </c>
      <c r="D78" s="44" t="s">
        <v>101</v>
      </c>
      <c r="E78" s="49">
        <f t="shared" si="8"/>
        <v>12315.488725914794</v>
      </c>
      <c r="F78" s="49">
        <f t="shared" si="9"/>
        <v>12315.5</v>
      </c>
      <c r="G78" s="49">
        <f t="shared" si="7"/>
        <v>-5.3620000180671923E-3</v>
      </c>
      <c r="K78" s="49">
        <f t="shared" si="10"/>
        <v>-5.3620000180671923E-3</v>
      </c>
      <c r="O78" s="49">
        <f t="shared" ca="1" si="11"/>
        <v>-5.7243962736203829E-3</v>
      </c>
      <c r="Q78" s="50">
        <f t="shared" si="12"/>
        <v>44492.511799999978</v>
      </c>
    </row>
    <row r="79" spans="1:17" s="49" customFormat="1" ht="12" customHeight="1">
      <c r="A79" s="46" t="s">
        <v>239</v>
      </c>
      <c r="B79" s="45" t="s">
        <v>36</v>
      </c>
      <c r="C79" s="81">
        <v>59511.012500000186</v>
      </c>
      <c r="D79" s="44" t="s">
        <v>208</v>
      </c>
      <c r="E79" s="49">
        <f t="shared" si="8"/>
        <v>12315.490197727917</v>
      </c>
      <c r="F79" s="49">
        <f t="shared" si="9"/>
        <v>12315.5</v>
      </c>
      <c r="G79" s="49">
        <f t="shared" si="7"/>
        <v>-4.6619998101959936E-3</v>
      </c>
      <c r="K79" s="49">
        <f t="shared" si="10"/>
        <v>-4.6619998101959936E-3</v>
      </c>
      <c r="O79" s="49">
        <f t="shared" ca="1" si="11"/>
        <v>-5.7243962736203829E-3</v>
      </c>
      <c r="Q79" s="50">
        <f t="shared" si="12"/>
        <v>44492.512500000186</v>
      </c>
    </row>
    <row r="80" spans="1:17" s="49" customFormat="1" ht="12" customHeight="1">
      <c r="A80" s="52" t="s">
        <v>241</v>
      </c>
      <c r="B80" s="53" t="s">
        <v>34</v>
      </c>
      <c r="C80" s="82">
        <v>59811.113200000022</v>
      </c>
      <c r="D80" s="83"/>
      <c r="E80" s="49">
        <f t="shared" si="8"/>
        <v>12946.478793281854</v>
      </c>
      <c r="F80" s="49">
        <f t="shared" si="9"/>
        <v>12946.5</v>
      </c>
      <c r="G80" s="49">
        <f t="shared" si="7"/>
        <v>-1.008599998021964E-2</v>
      </c>
      <c r="K80" s="49">
        <f t="shared" si="10"/>
        <v>-1.008599998021964E-2</v>
      </c>
      <c r="O80" s="49">
        <f t="shared" ca="1" si="11"/>
        <v>-6.6923897907309113E-3</v>
      </c>
      <c r="Q80" s="50">
        <f t="shared" si="12"/>
        <v>44792.613200000022</v>
      </c>
    </row>
    <row r="81" spans="1:17" s="49" customFormat="1" ht="12" customHeight="1">
      <c r="A81" s="52" t="s">
        <v>241</v>
      </c>
      <c r="B81" s="53" t="s">
        <v>36</v>
      </c>
      <c r="C81" s="82">
        <v>59886.967199999839</v>
      </c>
      <c r="D81" s="83"/>
      <c r="E81" s="49">
        <f t="shared" si="8"/>
        <v>13105.968620953232</v>
      </c>
      <c r="F81" s="49">
        <f t="shared" si="9"/>
        <v>13106</v>
      </c>
      <c r="G81" s="49">
        <f t="shared" si="7"/>
        <v>-1.4924000162864104E-2</v>
      </c>
      <c r="K81" s="49">
        <f t="shared" si="10"/>
        <v>-1.4924000162864104E-2</v>
      </c>
      <c r="O81" s="49">
        <f t="shared" ca="1" si="11"/>
        <v>-6.9370727796043315E-3</v>
      </c>
      <c r="Q81" s="50">
        <f t="shared" si="12"/>
        <v>44868.467199999839</v>
      </c>
    </row>
    <row r="82" spans="1:17" s="49" customFormat="1" ht="12" customHeight="1">
      <c r="A82" s="52" t="s">
        <v>241</v>
      </c>
      <c r="B82" s="53" t="s">
        <v>34</v>
      </c>
      <c r="C82" s="82">
        <v>59891.961899999995</v>
      </c>
      <c r="D82" s="83"/>
      <c r="E82" s="49">
        <f t="shared" si="8"/>
        <v>13116.470424975392</v>
      </c>
      <c r="F82" s="49">
        <f t="shared" si="9"/>
        <v>13116.5</v>
      </c>
      <c r="G82" s="49">
        <f t="shared" si="7"/>
        <v>-1.4066000003367662E-2</v>
      </c>
      <c r="K82" s="49">
        <f t="shared" si="10"/>
        <v>-1.4066000003367662E-2</v>
      </c>
      <c r="O82" s="49">
        <f t="shared" ca="1" si="11"/>
        <v>-6.9531804371790705E-3</v>
      </c>
      <c r="Q82" s="50">
        <f t="shared" si="12"/>
        <v>44873.461899999995</v>
      </c>
    </row>
    <row r="83" spans="1:17" s="49" customFormat="1" ht="12" customHeight="1">
      <c r="A83" s="47" t="s">
        <v>240</v>
      </c>
      <c r="B83" s="48" t="s">
        <v>36</v>
      </c>
      <c r="C83" s="81">
        <v>59930.723400000003</v>
      </c>
      <c r="D83" s="44">
        <v>1.5E-3</v>
      </c>
      <c r="E83" s="49">
        <f t="shared" si="8"/>
        <v>13197.969949790171</v>
      </c>
      <c r="F83" s="49">
        <f t="shared" si="9"/>
        <v>13198</v>
      </c>
      <c r="G83" s="49">
        <f t="shared" si="7"/>
        <v>-1.4291999992565252E-2</v>
      </c>
      <c r="K83" s="49">
        <f t="shared" si="10"/>
        <v>-1.4291999992565252E-2</v>
      </c>
      <c r="O83" s="49">
        <f t="shared" ca="1" si="11"/>
        <v>-7.0782065412115722E-3</v>
      </c>
      <c r="Q83" s="50">
        <f t="shared" si="12"/>
        <v>44912.223400000003</v>
      </c>
    </row>
    <row r="84" spans="1:17" s="49" customFormat="1" ht="12" customHeight="1">
      <c r="A84" s="47" t="s">
        <v>242</v>
      </c>
      <c r="B84" s="84" t="s">
        <v>36</v>
      </c>
      <c r="C84" s="85">
        <v>60197.529799999997</v>
      </c>
      <c r="D84" s="85">
        <v>8.9999999999999998E-4</v>
      </c>
      <c r="E84" s="49">
        <f t="shared" ref="E84" si="13">+(C84-C$7)/C$8</f>
        <v>13758.954298113553</v>
      </c>
      <c r="F84" s="49">
        <f t="shared" ref="F84" si="14">ROUND(2*E84,0)/2</f>
        <v>13759</v>
      </c>
      <c r="G84" s="49">
        <f t="shared" ref="G84" si="15">+C84-(C$7+F84*C$8)</f>
        <v>-2.1736000002420042E-2</v>
      </c>
      <c r="K84" s="49">
        <f t="shared" ref="K84" si="16">+G84</f>
        <v>-2.1736000002420042E-2</v>
      </c>
      <c r="O84" s="49">
        <f t="shared" ref="O84" ca="1" si="17">+C$11+C$12*$F84</f>
        <v>-7.9388156744905035E-3</v>
      </c>
      <c r="Q84" s="50">
        <f t="shared" ref="Q84" si="18">+C84-15018.5</f>
        <v>45179.029799999997</v>
      </c>
    </row>
    <row r="85" spans="1:17" s="49" customFormat="1" ht="12" customHeight="1">
      <c r="B85" s="51"/>
      <c r="C85" s="83"/>
      <c r="D85" s="83"/>
    </row>
    <row r="86" spans="1:17" s="49" customFormat="1" ht="12" customHeight="1">
      <c r="B86" s="51"/>
      <c r="C86" s="83"/>
      <c r="D86" s="83"/>
    </row>
    <row r="87" spans="1:17" s="49" customFormat="1" ht="12" customHeight="1">
      <c r="C87" s="83"/>
      <c r="D87" s="83"/>
    </row>
    <row r="88" spans="1:17">
      <c r="C88" s="19"/>
      <c r="D88" s="19"/>
    </row>
    <row r="89" spans="1:17">
      <c r="C89" s="19"/>
      <c r="D89" s="19"/>
    </row>
    <row r="90" spans="1:17">
      <c r="C90" s="19"/>
      <c r="D90" s="19"/>
    </row>
    <row r="91" spans="1:17">
      <c r="C91" s="19"/>
      <c r="D91" s="19"/>
    </row>
    <row r="92" spans="1:17">
      <c r="C92" s="19"/>
      <c r="D92" s="19"/>
    </row>
    <row r="93" spans="1:17">
      <c r="C93" s="19"/>
      <c r="D93" s="19"/>
    </row>
    <row r="94" spans="1:17">
      <c r="C94" s="19"/>
      <c r="D94" s="19"/>
    </row>
  </sheetData>
  <protectedRanges>
    <protectedRange sqref="A68:D71" name="Range1"/>
  </protectedRanges>
  <sortState xmlns:xlrd2="http://schemas.microsoft.com/office/spreadsheetml/2017/richdata2" ref="A21:U83">
    <sortCondition ref="C21:C83"/>
  </sortState>
  <phoneticPr fontId="8" type="noConversion"/>
  <hyperlinks>
    <hyperlink ref="H63261" r:id="rId1" display="http://vsolj.cetus-net.org/bulletin.html" xr:uid="{00000000-0004-0000-0000-000000000000}"/>
    <hyperlink ref="H63254" r:id="rId2" display="https://www.aavso.org/ejaavso" xr:uid="{00000000-0004-0000-0000-000001000000}"/>
    <hyperlink ref="I63261" r:id="rId3" display="http://vsolj.cetus-net.org/bulletin.html" xr:uid="{00000000-0004-0000-0000-000002000000}"/>
    <hyperlink ref="AQ56912" r:id="rId4" display="http://cdsbib.u-strasbg.fr/cgi-bin/cdsbib?1990RMxAA..21..381G" xr:uid="{00000000-0004-0000-0000-000003000000}"/>
    <hyperlink ref="H63258" r:id="rId5" display="https://www.aavso.org/ejaavso" xr:uid="{00000000-0004-0000-0000-000004000000}"/>
    <hyperlink ref="AP4276" r:id="rId6" display="http://cdsbib.u-strasbg.fr/cgi-bin/cdsbib?1990RMxAA..21..381G" xr:uid="{00000000-0004-0000-0000-000005000000}"/>
    <hyperlink ref="AP4279" r:id="rId7" display="http://cdsbib.u-strasbg.fr/cgi-bin/cdsbib?1990RMxAA..21..381G" xr:uid="{00000000-0004-0000-0000-000006000000}"/>
    <hyperlink ref="AP4277" r:id="rId8" display="http://cdsbib.u-strasbg.fr/cgi-bin/cdsbib?1990RMxAA..21..381G" xr:uid="{00000000-0004-0000-0000-000007000000}"/>
    <hyperlink ref="AP4261" r:id="rId9" display="http://cdsbib.u-strasbg.fr/cgi-bin/cdsbib?1990RMxAA..21..381G" xr:uid="{00000000-0004-0000-0000-000008000000}"/>
    <hyperlink ref="AQ4490" r:id="rId10" display="http://cdsbib.u-strasbg.fr/cgi-bin/cdsbib?1990RMxAA..21..381G" xr:uid="{00000000-0004-0000-0000-000009000000}"/>
    <hyperlink ref="AQ4494" r:id="rId11" display="http://cdsbib.u-strasbg.fr/cgi-bin/cdsbib?1990RMxAA..21..381G" xr:uid="{00000000-0004-0000-0000-00000A000000}"/>
    <hyperlink ref="AQ64174" r:id="rId12" display="http://cdsbib.u-strasbg.fr/cgi-bin/cdsbib?1990RMxAA..21..381G" xr:uid="{00000000-0004-0000-0000-00000B000000}"/>
    <hyperlink ref="I1382" r:id="rId13" display="http://vsolj.cetus-net.org/bulletin.html" xr:uid="{00000000-0004-0000-0000-00000C000000}"/>
    <hyperlink ref="H1382" r:id="rId14" display="http://vsolj.cetus-net.org/bulletin.html" xr:uid="{00000000-0004-0000-0000-00000D000000}"/>
    <hyperlink ref="AQ64835" r:id="rId15" display="http://cdsbib.u-strasbg.fr/cgi-bin/cdsbib?1990RMxAA..21..381G" xr:uid="{00000000-0004-0000-0000-00000E000000}"/>
    <hyperlink ref="AQ64834" r:id="rId16" display="http://cdsbib.u-strasbg.fr/cgi-bin/cdsbib?1990RMxAA..21..381G" xr:uid="{00000000-0004-0000-0000-00000F000000}"/>
    <hyperlink ref="AP2552" r:id="rId17" display="http://cdsbib.u-strasbg.fr/cgi-bin/cdsbib?1990RMxAA..21..381G" xr:uid="{00000000-0004-0000-0000-000010000000}"/>
    <hyperlink ref="AP2570" r:id="rId18" display="http://cdsbib.u-strasbg.fr/cgi-bin/cdsbib?1990RMxAA..21..381G" xr:uid="{00000000-0004-0000-0000-000011000000}"/>
    <hyperlink ref="AP2571" r:id="rId19" display="http://cdsbib.u-strasbg.fr/cgi-bin/cdsbib?1990RMxAA..21..381G" xr:uid="{00000000-0004-0000-0000-000012000000}"/>
    <hyperlink ref="AP2567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9"/>
  <sheetViews>
    <sheetView workbookViewId="0">
      <selection activeCell="A33" sqref="A33:C47"/>
    </sheetView>
  </sheetViews>
  <sheetFormatPr defaultRowHeight="12.75"/>
  <cols>
    <col min="1" max="1" width="19.7109375" style="19" customWidth="1"/>
    <col min="2" max="2" width="4.42578125" style="8" customWidth="1"/>
    <col min="3" max="3" width="12.7109375" style="19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19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>
      <c r="A1" s="18" t="s">
        <v>50</v>
      </c>
      <c r="I1" s="20" t="s">
        <v>51</v>
      </c>
      <c r="J1" s="21" t="s">
        <v>52</v>
      </c>
    </row>
    <row r="2" spans="1:16">
      <c r="I2" s="22" t="s">
        <v>53</v>
      </c>
      <c r="J2" s="23" t="s">
        <v>54</v>
      </c>
    </row>
    <row r="3" spans="1:16">
      <c r="A3" s="24" t="s">
        <v>55</v>
      </c>
      <c r="I3" s="22" t="s">
        <v>56</v>
      </c>
      <c r="J3" s="23" t="s">
        <v>57</v>
      </c>
    </row>
    <row r="4" spans="1:16">
      <c r="I4" s="22" t="s">
        <v>58</v>
      </c>
      <c r="J4" s="23" t="s">
        <v>57</v>
      </c>
    </row>
    <row r="5" spans="1:16" ht="13.5" thickBot="1">
      <c r="I5" s="25" t="s">
        <v>59</v>
      </c>
      <c r="J5" s="26" t="s">
        <v>60</v>
      </c>
    </row>
    <row r="10" spans="1:16" ht="13.5" thickBot="1"/>
    <row r="11" spans="1:16" ht="12.75" customHeight="1" thickBot="1">
      <c r="A11" s="19" t="str">
        <f t="shared" ref="A11:A47" si="0">P11</f>
        <v>IBVS 4380 </v>
      </c>
      <c r="B11" s="3" t="str">
        <f t="shared" ref="B11:B47" si="1">IF(H11=INT(H11),"I","II")</f>
        <v>II</v>
      </c>
      <c r="C11" s="19">
        <f t="shared" ref="C11:C47" si="2">1*G11</f>
        <v>49283.324999999997</v>
      </c>
      <c r="D11" s="8" t="str">
        <f t="shared" ref="D11:D47" si="3">VLOOKUP(F11,I$1:J$5,2,FALSE)</f>
        <v>vis</v>
      </c>
      <c r="E11" s="27">
        <f>VLOOKUP(C11,Active!C$21:E$973,3,FALSE)</f>
        <v>-9189.1386531652388</v>
      </c>
      <c r="F11" s="3" t="s">
        <v>59</v>
      </c>
      <c r="G11" s="8" t="str">
        <f t="shared" ref="G11:G47" si="4">MID(I11,3,LEN(I11)-3)</f>
        <v>49283.3250</v>
      </c>
      <c r="H11" s="19">
        <f t="shared" ref="H11:H47" si="5">1*K11</f>
        <v>-6761.5</v>
      </c>
      <c r="I11" s="28" t="s">
        <v>86</v>
      </c>
      <c r="J11" s="29" t="s">
        <v>87</v>
      </c>
      <c r="K11" s="28">
        <v>-6761.5</v>
      </c>
      <c r="L11" s="28" t="s">
        <v>88</v>
      </c>
      <c r="M11" s="29" t="s">
        <v>64</v>
      </c>
      <c r="N11" s="29" t="s">
        <v>65</v>
      </c>
      <c r="O11" s="30" t="s">
        <v>89</v>
      </c>
      <c r="P11" s="31" t="s">
        <v>90</v>
      </c>
    </row>
    <row r="12" spans="1:16" ht="12.75" customHeight="1" thickBot="1">
      <c r="A12" s="19" t="str">
        <f t="shared" si="0"/>
        <v>IBVS 4380 </v>
      </c>
      <c r="B12" s="3" t="str">
        <f t="shared" si="1"/>
        <v>I</v>
      </c>
      <c r="C12" s="19">
        <f t="shared" si="2"/>
        <v>49326.369599999998</v>
      </c>
      <c r="D12" s="8" t="str">
        <f t="shared" si="3"/>
        <v>vis</v>
      </c>
      <c r="E12" s="27">
        <f>VLOOKUP(C12,Active!C$21:E$973,3,FALSE)</f>
        <v>-9098.6335270519157</v>
      </c>
      <c r="F12" s="3" t="s">
        <v>59</v>
      </c>
      <c r="G12" s="8" t="str">
        <f t="shared" si="4"/>
        <v>49326.3696</v>
      </c>
      <c r="H12" s="19">
        <f t="shared" si="5"/>
        <v>-6671</v>
      </c>
      <c r="I12" s="28" t="s">
        <v>91</v>
      </c>
      <c r="J12" s="29" t="s">
        <v>92</v>
      </c>
      <c r="K12" s="28">
        <v>-6671</v>
      </c>
      <c r="L12" s="28" t="s">
        <v>93</v>
      </c>
      <c r="M12" s="29" t="s">
        <v>64</v>
      </c>
      <c r="N12" s="29" t="s">
        <v>65</v>
      </c>
      <c r="O12" s="30" t="s">
        <v>94</v>
      </c>
      <c r="P12" s="31" t="s">
        <v>90</v>
      </c>
    </row>
    <row r="13" spans="1:16" ht="12.75" customHeight="1" thickBot="1">
      <c r="A13" s="19" t="str">
        <f t="shared" si="0"/>
        <v>IBVS 4380 </v>
      </c>
      <c r="B13" s="3" t="str">
        <f t="shared" si="1"/>
        <v>I</v>
      </c>
      <c r="C13" s="19">
        <f t="shared" si="2"/>
        <v>49327.320299999999</v>
      </c>
      <c r="D13" s="8" t="str">
        <f t="shared" si="3"/>
        <v>vis</v>
      </c>
      <c r="E13" s="27">
        <f>VLOOKUP(C13,Active!C$21:E$973,3,FALSE)</f>
        <v>-9096.6345951674048</v>
      </c>
      <c r="F13" s="3" t="s">
        <v>59</v>
      </c>
      <c r="G13" s="8" t="str">
        <f t="shared" si="4"/>
        <v>49327.3203</v>
      </c>
      <c r="H13" s="19">
        <f t="shared" si="5"/>
        <v>-6669</v>
      </c>
      <c r="I13" s="28" t="s">
        <v>95</v>
      </c>
      <c r="J13" s="29" t="s">
        <v>96</v>
      </c>
      <c r="K13" s="28">
        <v>-6669</v>
      </c>
      <c r="L13" s="28" t="s">
        <v>97</v>
      </c>
      <c r="M13" s="29" t="s">
        <v>64</v>
      </c>
      <c r="N13" s="29" t="s">
        <v>65</v>
      </c>
      <c r="O13" s="30" t="s">
        <v>94</v>
      </c>
      <c r="P13" s="31" t="s">
        <v>90</v>
      </c>
    </row>
    <row r="14" spans="1:16" ht="12.75" customHeight="1" thickBot="1">
      <c r="A14" s="19" t="str">
        <f t="shared" si="0"/>
        <v>IBVS 4126 </v>
      </c>
      <c r="B14" s="3" t="str">
        <f t="shared" si="1"/>
        <v>I</v>
      </c>
      <c r="C14" s="19">
        <f t="shared" si="2"/>
        <v>49596.462899999999</v>
      </c>
      <c r="D14" s="8" t="str">
        <f t="shared" si="3"/>
        <v>vis</v>
      </c>
      <c r="E14" s="27">
        <f>VLOOKUP(C14,Active!C$21:E$973,3,FALSE)</f>
        <v>-8530.7381771389628</v>
      </c>
      <c r="F14" s="3" t="s">
        <v>59</v>
      </c>
      <c r="G14" s="8" t="str">
        <f t="shared" si="4"/>
        <v>49596.4629</v>
      </c>
      <c r="H14" s="19">
        <f t="shared" si="5"/>
        <v>-6103</v>
      </c>
      <c r="I14" s="28" t="s">
        <v>98</v>
      </c>
      <c r="J14" s="29" t="s">
        <v>99</v>
      </c>
      <c r="K14" s="28">
        <v>-6103</v>
      </c>
      <c r="L14" s="28" t="s">
        <v>100</v>
      </c>
      <c r="M14" s="29" t="s">
        <v>64</v>
      </c>
      <c r="N14" s="29" t="s">
        <v>101</v>
      </c>
      <c r="O14" s="30" t="s">
        <v>102</v>
      </c>
      <c r="P14" s="31" t="s">
        <v>103</v>
      </c>
    </row>
    <row r="15" spans="1:16" ht="12.75" customHeight="1" thickBot="1">
      <c r="A15" s="19" t="str">
        <f t="shared" si="0"/>
        <v>IBVS 4126 </v>
      </c>
      <c r="B15" s="3" t="str">
        <f t="shared" si="1"/>
        <v>I</v>
      </c>
      <c r="C15" s="19">
        <f t="shared" si="2"/>
        <v>49596.518300000003</v>
      </c>
      <c r="D15" s="8" t="str">
        <f t="shared" si="3"/>
        <v>vis</v>
      </c>
      <c r="E15" s="27">
        <f>VLOOKUP(C15,Active!C$21:E$973,3,FALSE)</f>
        <v>-8530.6216936779219</v>
      </c>
      <c r="F15" s="3" t="s">
        <v>59</v>
      </c>
      <c r="G15" s="8" t="str">
        <f t="shared" si="4"/>
        <v>49596.5183</v>
      </c>
      <c r="H15" s="19">
        <f t="shared" si="5"/>
        <v>-6103</v>
      </c>
      <c r="I15" s="28" t="s">
        <v>104</v>
      </c>
      <c r="J15" s="29" t="s">
        <v>105</v>
      </c>
      <c r="K15" s="28">
        <v>-6103</v>
      </c>
      <c r="L15" s="28" t="s">
        <v>106</v>
      </c>
      <c r="M15" s="29" t="s">
        <v>64</v>
      </c>
      <c r="N15" s="29" t="s">
        <v>107</v>
      </c>
      <c r="O15" s="30" t="s">
        <v>102</v>
      </c>
      <c r="P15" s="31" t="s">
        <v>103</v>
      </c>
    </row>
    <row r="16" spans="1:16" ht="12.75" customHeight="1" thickBot="1">
      <c r="A16" s="19" t="str">
        <f t="shared" si="0"/>
        <v>IBVS 5463 </v>
      </c>
      <c r="B16" s="3" t="str">
        <f t="shared" si="1"/>
        <v>II</v>
      </c>
      <c r="C16" s="19">
        <f t="shared" si="2"/>
        <v>52189.548799999997</v>
      </c>
      <c r="D16" s="8" t="str">
        <f t="shared" si="3"/>
        <v>vis</v>
      </c>
      <c r="E16" s="27">
        <f>VLOOKUP(C16,Active!C$21:E$973,3,FALSE)</f>
        <v>-3078.5428633905535</v>
      </c>
      <c r="F16" s="3" t="s">
        <v>59</v>
      </c>
      <c r="G16" s="8" t="str">
        <f t="shared" si="4"/>
        <v>52189.5488</v>
      </c>
      <c r="H16" s="19">
        <f t="shared" si="5"/>
        <v>-653.5</v>
      </c>
      <c r="I16" s="28" t="s">
        <v>113</v>
      </c>
      <c r="J16" s="29" t="s">
        <v>114</v>
      </c>
      <c r="K16" s="28">
        <v>-653.5</v>
      </c>
      <c r="L16" s="28" t="s">
        <v>115</v>
      </c>
      <c r="M16" s="29" t="s">
        <v>64</v>
      </c>
      <c r="N16" s="29" t="s">
        <v>65</v>
      </c>
      <c r="O16" s="30" t="s">
        <v>116</v>
      </c>
      <c r="P16" s="31" t="s">
        <v>117</v>
      </c>
    </row>
    <row r="17" spans="1:16" ht="12.75" customHeight="1" thickBot="1">
      <c r="A17" s="19" t="str">
        <f t="shared" si="0"/>
        <v>IBVS 5439 </v>
      </c>
      <c r="B17" s="3" t="str">
        <f t="shared" si="1"/>
        <v>II</v>
      </c>
      <c r="C17" s="19">
        <f t="shared" si="2"/>
        <v>52193.357300000003</v>
      </c>
      <c r="D17" s="8" t="str">
        <f t="shared" si="3"/>
        <v>vis</v>
      </c>
      <c r="E17" s="27">
        <f>VLOOKUP(C17,Active!C$21:E$973,3,FALSE)</f>
        <v>-3070.5351510920732</v>
      </c>
      <c r="F17" s="3" t="s">
        <v>59</v>
      </c>
      <c r="G17" s="8" t="str">
        <f t="shared" si="4"/>
        <v>52193.3573</v>
      </c>
      <c r="H17" s="19">
        <f t="shared" si="5"/>
        <v>-645.5</v>
      </c>
      <c r="I17" s="28" t="s">
        <v>118</v>
      </c>
      <c r="J17" s="29" t="s">
        <v>119</v>
      </c>
      <c r="K17" s="28">
        <v>-645.5</v>
      </c>
      <c r="L17" s="28" t="s">
        <v>120</v>
      </c>
      <c r="M17" s="29" t="s">
        <v>64</v>
      </c>
      <c r="N17" s="29" t="s">
        <v>65</v>
      </c>
      <c r="O17" s="30" t="s">
        <v>121</v>
      </c>
      <c r="P17" s="31" t="s">
        <v>122</v>
      </c>
    </row>
    <row r="18" spans="1:16" ht="12.75" customHeight="1" thickBot="1">
      <c r="A18" s="19" t="str">
        <f t="shared" si="0"/>
        <v>IBVS 5463 </v>
      </c>
      <c r="B18" s="3" t="str">
        <f t="shared" si="1"/>
        <v>I</v>
      </c>
      <c r="C18" s="19">
        <f t="shared" si="2"/>
        <v>52194.545899999997</v>
      </c>
      <c r="D18" s="8" t="str">
        <f t="shared" si="3"/>
        <v>vis</v>
      </c>
      <c r="E18" s="27">
        <f>VLOOKUP(C18,Active!C$21:E$973,3,FALSE)</f>
        <v>-3068.0360131538009</v>
      </c>
      <c r="F18" s="3" t="s">
        <v>59</v>
      </c>
      <c r="G18" s="8" t="str">
        <f t="shared" si="4"/>
        <v>52194.5459</v>
      </c>
      <c r="H18" s="19">
        <f t="shared" si="5"/>
        <v>-643</v>
      </c>
      <c r="I18" s="28" t="s">
        <v>123</v>
      </c>
      <c r="J18" s="29" t="s">
        <v>124</v>
      </c>
      <c r="K18" s="28">
        <v>-643</v>
      </c>
      <c r="L18" s="28" t="s">
        <v>125</v>
      </c>
      <c r="M18" s="29" t="s">
        <v>64</v>
      </c>
      <c r="N18" s="29" t="s">
        <v>65</v>
      </c>
      <c r="O18" s="30" t="s">
        <v>116</v>
      </c>
      <c r="P18" s="31" t="s">
        <v>117</v>
      </c>
    </row>
    <row r="19" spans="1:16" ht="12.75" customHeight="1" thickBot="1">
      <c r="A19" s="19" t="str">
        <f t="shared" si="0"/>
        <v>IBVS 5843 </v>
      </c>
      <c r="B19" s="3" t="str">
        <f t="shared" si="1"/>
        <v>I</v>
      </c>
      <c r="C19" s="19">
        <f t="shared" si="2"/>
        <v>53271.808400000002</v>
      </c>
      <c r="D19" s="8" t="str">
        <f t="shared" si="3"/>
        <v>vis</v>
      </c>
      <c r="E19" s="27">
        <f>VLOOKUP(C19,Active!C$21:E$973,3,FALSE)</f>
        <v>-802.99513881295377</v>
      </c>
      <c r="F19" s="3" t="s">
        <v>59</v>
      </c>
      <c r="G19" s="8" t="str">
        <f t="shared" si="4"/>
        <v>53271.8084</v>
      </c>
      <c r="H19" s="19">
        <f t="shared" si="5"/>
        <v>1622</v>
      </c>
      <c r="I19" s="28" t="s">
        <v>126</v>
      </c>
      <c r="J19" s="29" t="s">
        <v>127</v>
      </c>
      <c r="K19" s="28">
        <v>1622</v>
      </c>
      <c r="L19" s="28" t="s">
        <v>128</v>
      </c>
      <c r="M19" s="29" t="s">
        <v>71</v>
      </c>
      <c r="N19" s="29" t="s">
        <v>129</v>
      </c>
      <c r="O19" s="30" t="s">
        <v>130</v>
      </c>
      <c r="P19" s="31" t="s">
        <v>131</v>
      </c>
    </row>
    <row r="20" spans="1:16" ht="12.75" customHeight="1" thickBot="1">
      <c r="A20" s="19" t="str">
        <f t="shared" si="0"/>
        <v>IBVS 5843 </v>
      </c>
      <c r="B20" s="3" t="str">
        <f t="shared" si="1"/>
        <v>I</v>
      </c>
      <c r="C20" s="19">
        <f t="shared" si="2"/>
        <v>53273.710599999999</v>
      </c>
      <c r="D20" s="8" t="str">
        <f t="shared" si="3"/>
        <v>vis</v>
      </c>
      <c r="E20" s="27">
        <f>VLOOKUP(C20,Active!C$21:E$973,3,FALSE)</f>
        <v>-798.99559297230314</v>
      </c>
      <c r="F20" s="3" t="s">
        <v>59</v>
      </c>
      <c r="G20" s="8" t="str">
        <f t="shared" si="4"/>
        <v>53273.7106</v>
      </c>
      <c r="H20" s="19">
        <f t="shared" si="5"/>
        <v>1626</v>
      </c>
      <c r="I20" s="28" t="s">
        <v>132</v>
      </c>
      <c r="J20" s="29" t="s">
        <v>133</v>
      </c>
      <c r="K20" s="28" t="s">
        <v>134</v>
      </c>
      <c r="L20" s="28" t="s">
        <v>135</v>
      </c>
      <c r="M20" s="29" t="s">
        <v>71</v>
      </c>
      <c r="N20" s="29" t="s">
        <v>129</v>
      </c>
      <c r="O20" s="30" t="s">
        <v>130</v>
      </c>
      <c r="P20" s="31" t="s">
        <v>131</v>
      </c>
    </row>
    <row r="21" spans="1:16" ht="12.75" customHeight="1" thickBot="1">
      <c r="A21" s="19" t="str">
        <f t="shared" si="0"/>
        <v>IBVS 5843 </v>
      </c>
      <c r="B21" s="3" t="str">
        <f t="shared" si="1"/>
        <v>I</v>
      </c>
      <c r="C21" s="19">
        <f t="shared" si="2"/>
        <v>53274.660900000003</v>
      </c>
      <c r="D21" s="8" t="str">
        <f t="shared" si="3"/>
        <v>vis</v>
      </c>
      <c r="E21" s="27">
        <f>VLOOKUP(C21,Active!C$21:E$973,3,FALSE)</f>
        <v>-796.99750212360539</v>
      </c>
      <c r="F21" s="3" t="s">
        <v>59</v>
      </c>
      <c r="G21" s="8" t="str">
        <f t="shared" si="4"/>
        <v>53274.6609</v>
      </c>
      <c r="H21" s="19">
        <f t="shared" si="5"/>
        <v>1628</v>
      </c>
      <c r="I21" s="28" t="s">
        <v>136</v>
      </c>
      <c r="J21" s="29" t="s">
        <v>137</v>
      </c>
      <c r="K21" s="28" t="s">
        <v>138</v>
      </c>
      <c r="L21" s="28" t="s">
        <v>139</v>
      </c>
      <c r="M21" s="29" t="s">
        <v>71</v>
      </c>
      <c r="N21" s="29" t="s">
        <v>129</v>
      </c>
      <c r="O21" s="30" t="s">
        <v>130</v>
      </c>
      <c r="P21" s="31" t="s">
        <v>131</v>
      </c>
    </row>
    <row r="22" spans="1:16" ht="12.75" customHeight="1" thickBot="1">
      <c r="A22" s="19" t="str">
        <f t="shared" si="0"/>
        <v>IBVS 5843 </v>
      </c>
      <c r="B22" s="3" t="str">
        <f t="shared" si="1"/>
        <v>I</v>
      </c>
      <c r="C22" s="19">
        <f t="shared" si="2"/>
        <v>53283.697500000002</v>
      </c>
      <c r="D22" s="8" t="str">
        <f t="shared" si="3"/>
        <v>vis</v>
      </c>
      <c r="E22" s="27">
        <f>VLOOKUP(C22,Active!C$21:E$973,3,FALSE)</f>
        <v>-777.99724140250248</v>
      </c>
      <c r="F22" s="3" t="s">
        <v>59</v>
      </c>
      <c r="G22" s="8" t="str">
        <f t="shared" si="4"/>
        <v>53283.6975</v>
      </c>
      <c r="H22" s="19">
        <f t="shared" si="5"/>
        <v>1647</v>
      </c>
      <c r="I22" s="28" t="s">
        <v>140</v>
      </c>
      <c r="J22" s="29" t="s">
        <v>141</v>
      </c>
      <c r="K22" s="28" t="s">
        <v>142</v>
      </c>
      <c r="L22" s="28" t="s">
        <v>143</v>
      </c>
      <c r="M22" s="29" t="s">
        <v>71</v>
      </c>
      <c r="N22" s="29" t="s">
        <v>129</v>
      </c>
      <c r="O22" s="30" t="s">
        <v>130</v>
      </c>
      <c r="P22" s="31" t="s">
        <v>131</v>
      </c>
    </row>
    <row r="23" spans="1:16" ht="12.75" customHeight="1" thickBot="1">
      <c r="A23" s="19" t="str">
        <f t="shared" si="0"/>
        <v>IBVS 5843 </v>
      </c>
      <c r="B23" s="3" t="str">
        <f t="shared" si="1"/>
        <v>II</v>
      </c>
      <c r="C23" s="19">
        <f t="shared" si="2"/>
        <v>53286.787300000004</v>
      </c>
      <c r="D23" s="8" t="str">
        <f t="shared" si="3"/>
        <v>vis</v>
      </c>
      <c r="E23" s="27">
        <f>VLOOKUP(C23,Active!C$21:E$973,3,FALSE)</f>
        <v>-771.50066021310624</v>
      </c>
      <c r="F23" s="3" t="s">
        <v>59</v>
      </c>
      <c r="G23" s="8" t="str">
        <f t="shared" si="4"/>
        <v>53286.7873</v>
      </c>
      <c r="H23" s="19">
        <f t="shared" si="5"/>
        <v>1653.5</v>
      </c>
      <c r="I23" s="28" t="s">
        <v>144</v>
      </c>
      <c r="J23" s="29" t="s">
        <v>145</v>
      </c>
      <c r="K23" s="28" t="s">
        <v>146</v>
      </c>
      <c r="L23" s="28" t="s">
        <v>147</v>
      </c>
      <c r="M23" s="29" t="s">
        <v>71</v>
      </c>
      <c r="N23" s="29" t="s">
        <v>129</v>
      </c>
      <c r="O23" s="30" t="s">
        <v>130</v>
      </c>
      <c r="P23" s="31" t="s">
        <v>131</v>
      </c>
    </row>
    <row r="24" spans="1:16" ht="12.75" customHeight="1" thickBot="1">
      <c r="A24" s="19" t="str">
        <f t="shared" si="0"/>
        <v>IBVS 5843 </v>
      </c>
      <c r="B24" s="3" t="str">
        <f t="shared" si="1"/>
        <v>II</v>
      </c>
      <c r="C24" s="19">
        <f t="shared" si="2"/>
        <v>53287.741699999999</v>
      </c>
      <c r="D24" s="8" t="str">
        <f t="shared" si="3"/>
        <v>vis</v>
      </c>
      <c r="E24" s="27">
        <f>VLOOKUP(C24,Active!C$21:E$973,3,FALSE)</f>
        <v>-769.49394874727534</v>
      </c>
      <c r="F24" s="3" t="s">
        <v>59</v>
      </c>
      <c r="G24" s="8" t="str">
        <f t="shared" si="4"/>
        <v>53287.7417</v>
      </c>
      <c r="H24" s="19">
        <f t="shared" si="5"/>
        <v>1655.5</v>
      </c>
      <c r="I24" s="28" t="s">
        <v>148</v>
      </c>
      <c r="J24" s="29" t="s">
        <v>149</v>
      </c>
      <c r="K24" s="28" t="s">
        <v>150</v>
      </c>
      <c r="L24" s="28" t="s">
        <v>151</v>
      </c>
      <c r="M24" s="29" t="s">
        <v>71</v>
      </c>
      <c r="N24" s="29" t="s">
        <v>129</v>
      </c>
      <c r="O24" s="30" t="s">
        <v>130</v>
      </c>
      <c r="P24" s="31" t="s">
        <v>131</v>
      </c>
    </row>
    <row r="25" spans="1:16" ht="12.75" customHeight="1" thickBot="1">
      <c r="A25" s="19" t="str">
        <f t="shared" si="0"/>
        <v>IBVS 5843 </v>
      </c>
      <c r="B25" s="3" t="str">
        <f t="shared" si="1"/>
        <v>II</v>
      </c>
      <c r="C25" s="19">
        <f t="shared" si="2"/>
        <v>53288.694199999998</v>
      </c>
      <c r="D25" s="8" t="str">
        <f t="shared" si="3"/>
        <v>vis</v>
      </c>
      <c r="E25" s="27">
        <f>VLOOKUP(C25,Active!C$21:E$973,3,FALSE)</f>
        <v>-767.4912322015789</v>
      </c>
      <c r="F25" s="3" t="s">
        <v>59</v>
      </c>
      <c r="G25" s="8" t="str">
        <f t="shared" si="4"/>
        <v>53288.6942</v>
      </c>
      <c r="H25" s="19">
        <f t="shared" si="5"/>
        <v>1657.5</v>
      </c>
      <c r="I25" s="28" t="s">
        <v>152</v>
      </c>
      <c r="J25" s="29" t="s">
        <v>153</v>
      </c>
      <c r="K25" s="28" t="s">
        <v>154</v>
      </c>
      <c r="L25" s="28" t="s">
        <v>155</v>
      </c>
      <c r="M25" s="29" t="s">
        <v>71</v>
      </c>
      <c r="N25" s="29" t="s">
        <v>129</v>
      </c>
      <c r="O25" s="30" t="s">
        <v>130</v>
      </c>
      <c r="P25" s="31" t="s">
        <v>131</v>
      </c>
    </row>
    <row r="26" spans="1:16" ht="12.75" customHeight="1" thickBot="1">
      <c r="A26" s="19" t="str">
        <f t="shared" si="0"/>
        <v>IBVS 5843 </v>
      </c>
      <c r="B26" s="3" t="str">
        <f t="shared" si="1"/>
        <v>II</v>
      </c>
      <c r="C26" s="19">
        <f t="shared" si="2"/>
        <v>53289.643700000001</v>
      </c>
      <c r="D26" s="8" t="str">
        <f t="shared" si="3"/>
        <v>vis</v>
      </c>
      <c r="E26" s="27">
        <f>VLOOKUP(C26,Active!C$21:E$973,3,FALSE)</f>
        <v>-765.49482342452393</v>
      </c>
      <c r="F26" s="3" t="s">
        <v>59</v>
      </c>
      <c r="G26" s="8" t="str">
        <f t="shared" si="4"/>
        <v>53289.6437</v>
      </c>
      <c r="H26" s="19">
        <f t="shared" si="5"/>
        <v>1659.5</v>
      </c>
      <c r="I26" s="28" t="s">
        <v>156</v>
      </c>
      <c r="J26" s="29" t="s">
        <v>157</v>
      </c>
      <c r="K26" s="28" t="s">
        <v>158</v>
      </c>
      <c r="L26" s="28" t="s">
        <v>159</v>
      </c>
      <c r="M26" s="29" t="s">
        <v>71</v>
      </c>
      <c r="N26" s="29" t="s">
        <v>129</v>
      </c>
      <c r="O26" s="30" t="s">
        <v>130</v>
      </c>
      <c r="P26" s="31" t="s">
        <v>131</v>
      </c>
    </row>
    <row r="27" spans="1:16" ht="12.75" customHeight="1" thickBot="1">
      <c r="A27" s="19" t="str">
        <f t="shared" si="0"/>
        <v>IBVS 5843 </v>
      </c>
      <c r="B27" s="3" t="str">
        <f t="shared" si="1"/>
        <v>I</v>
      </c>
      <c r="C27" s="19">
        <f t="shared" si="2"/>
        <v>53302.721700000002</v>
      </c>
      <c r="D27" s="8" t="str">
        <f t="shared" si="3"/>
        <v>vis</v>
      </c>
      <c r="E27" s="27">
        <f>VLOOKUP(C27,Active!C$21:E$973,3,FALSE)</f>
        <v>-737.9971572989208</v>
      </c>
      <c r="F27" s="3" t="s">
        <v>59</v>
      </c>
      <c r="G27" s="8" t="str">
        <f t="shared" si="4"/>
        <v>53302.7217</v>
      </c>
      <c r="H27" s="19">
        <f t="shared" si="5"/>
        <v>1687</v>
      </c>
      <c r="I27" s="28" t="s">
        <v>160</v>
      </c>
      <c r="J27" s="29" t="s">
        <v>161</v>
      </c>
      <c r="K27" s="28" t="s">
        <v>162</v>
      </c>
      <c r="L27" s="28" t="s">
        <v>163</v>
      </c>
      <c r="M27" s="29" t="s">
        <v>71</v>
      </c>
      <c r="N27" s="29" t="s">
        <v>129</v>
      </c>
      <c r="O27" s="30" t="s">
        <v>130</v>
      </c>
      <c r="P27" s="31" t="s">
        <v>131</v>
      </c>
    </row>
    <row r="28" spans="1:16" ht="12.75" customHeight="1" thickBot="1">
      <c r="A28" s="19" t="str">
        <f t="shared" si="0"/>
        <v>IBVS 5843 </v>
      </c>
      <c r="B28" s="3" t="str">
        <f t="shared" si="1"/>
        <v>II</v>
      </c>
      <c r="C28" s="19">
        <f t="shared" si="2"/>
        <v>53338.629500000003</v>
      </c>
      <c r="D28" s="8" t="str">
        <f t="shared" si="3"/>
        <v>vis</v>
      </c>
      <c r="E28" s="27">
        <f>VLOOKUP(C28,Active!C$21:E$973,3,FALSE)</f>
        <v>-662.49779228096293</v>
      </c>
      <c r="F28" s="3" t="s">
        <v>59</v>
      </c>
      <c r="G28" s="8" t="str">
        <f t="shared" si="4"/>
        <v>53338.6295</v>
      </c>
      <c r="H28" s="19">
        <f t="shared" si="5"/>
        <v>1762.5</v>
      </c>
      <c r="I28" s="28" t="s">
        <v>164</v>
      </c>
      <c r="J28" s="29" t="s">
        <v>165</v>
      </c>
      <c r="K28" s="28" t="s">
        <v>166</v>
      </c>
      <c r="L28" s="28" t="s">
        <v>167</v>
      </c>
      <c r="M28" s="29" t="s">
        <v>71</v>
      </c>
      <c r="N28" s="29" t="s">
        <v>129</v>
      </c>
      <c r="O28" s="30" t="s">
        <v>130</v>
      </c>
      <c r="P28" s="31" t="s">
        <v>131</v>
      </c>
    </row>
    <row r="29" spans="1:16" ht="12.75" customHeight="1" thickBot="1">
      <c r="A29" s="19" t="str">
        <f t="shared" si="0"/>
        <v>IBVS 5843 </v>
      </c>
      <c r="B29" s="3" t="str">
        <f t="shared" si="1"/>
        <v>I</v>
      </c>
      <c r="C29" s="19">
        <f t="shared" si="2"/>
        <v>53994.729299999999</v>
      </c>
      <c r="D29" s="8" t="str">
        <f t="shared" si="3"/>
        <v>vis</v>
      </c>
      <c r="E29" s="27">
        <f>VLOOKUP(C29,Active!C$21:E$973,3,FALSE)</f>
        <v>717.01079048956956</v>
      </c>
      <c r="F29" s="3" t="s">
        <v>59</v>
      </c>
      <c r="G29" s="8" t="str">
        <f t="shared" si="4"/>
        <v>53994.7293</v>
      </c>
      <c r="H29" s="19">
        <f t="shared" si="5"/>
        <v>3142</v>
      </c>
      <c r="I29" s="28" t="s">
        <v>178</v>
      </c>
      <c r="J29" s="29" t="s">
        <v>179</v>
      </c>
      <c r="K29" s="28" t="s">
        <v>180</v>
      </c>
      <c r="L29" s="28" t="s">
        <v>181</v>
      </c>
      <c r="M29" s="29" t="s">
        <v>71</v>
      </c>
      <c r="N29" s="29" t="s">
        <v>129</v>
      </c>
      <c r="O29" s="30" t="s">
        <v>130</v>
      </c>
      <c r="P29" s="31" t="s">
        <v>131</v>
      </c>
    </row>
    <row r="30" spans="1:16" ht="12.75" customHeight="1" thickBot="1">
      <c r="A30" s="19" t="str">
        <f t="shared" si="0"/>
        <v>IBVS 5887 </v>
      </c>
      <c r="B30" s="3" t="str">
        <f t="shared" si="1"/>
        <v>II</v>
      </c>
      <c r="C30" s="19">
        <f t="shared" si="2"/>
        <v>54417.303200000002</v>
      </c>
      <c r="D30" s="8" t="str">
        <f t="shared" si="3"/>
        <v>vis</v>
      </c>
      <c r="E30" s="27">
        <f>VLOOKUP(C30,Active!C$21:E$973,3,FALSE)</f>
        <v>1605.5102564318304</v>
      </c>
      <c r="F30" s="3" t="s">
        <v>59</v>
      </c>
      <c r="G30" s="8" t="str">
        <f t="shared" si="4"/>
        <v>54417.3032</v>
      </c>
      <c r="H30" s="19">
        <f t="shared" si="5"/>
        <v>4030.5</v>
      </c>
      <c r="I30" s="28" t="s">
        <v>188</v>
      </c>
      <c r="J30" s="29" t="s">
        <v>189</v>
      </c>
      <c r="K30" s="28" t="s">
        <v>190</v>
      </c>
      <c r="L30" s="28" t="s">
        <v>191</v>
      </c>
      <c r="M30" s="29" t="s">
        <v>64</v>
      </c>
      <c r="N30" s="29" t="s">
        <v>192</v>
      </c>
      <c r="O30" s="30" t="s">
        <v>193</v>
      </c>
      <c r="P30" s="31" t="s">
        <v>194</v>
      </c>
    </row>
    <row r="31" spans="1:16" ht="12.75" customHeight="1" thickBot="1">
      <c r="A31" s="19" t="str">
        <f t="shared" si="0"/>
        <v>IBVS 5887 </v>
      </c>
      <c r="B31" s="3" t="str">
        <f t="shared" si="1"/>
        <v>I</v>
      </c>
      <c r="C31" s="19">
        <f t="shared" si="2"/>
        <v>54763.304100000001</v>
      </c>
      <c r="D31" s="8" t="str">
        <f t="shared" si="3"/>
        <v>vis</v>
      </c>
      <c r="E31" s="27">
        <f>VLOOKUP(C31,Active!C$21:E$973,3,FALSE)</f>
        <v>2333.0081328163837</v>
      </c>
      <c r="F31" s="3" t="s">
        <v>59</v>
      </c>
      <c r="G31" s="8" t="str">
        <f t="shared" si="4"/>
        <v>54763.3041</v>
      </c>
      <c r="H31" s="19">
        <f t="shared" si="5"/>
        <v>4758</v>
      </c>
      <c r="I31" s="28" t="s">
        <v>195</v>
      </c>
      <c r="J31" s="29" t="s">
        <v>196</v>
      </c>
      <c r="K31" s="28" t="s">
        <v>197</v>
      </c>
      <c r="L31" s="28" t="s">
        <v>185</v>
      </c>
      <c r="M31" s="29" t="s">
        <v>64</v>
      </c>
      <c r="N31" s="29" t="s">
        <v>192</v>
      </c>
      <c r="O31" s="30" t="s">
        <v>198</v>
      </c>
      <c r="P31" s="31" t="s">
        <v>194</v>
      </c>
    </row>
    <row r="32" spans="1:16" ht="12.75" customHeight="1" thickBot="1">
      <c r="A32" s="19" t="str">
        <f t="shared" si="0"/>
        <v>IBVS 5887 </v>
      </c>
      <c r="B32" s="3" t="str">
        <f t="shared" si="1"/>
        <v>II</v>
      </c>
      <c r="C32" s="19">
        <f t="shared" si="2"/>
        <v>54764.498399999997</v>
      </c>
      <c r="D32" s="8" t="str">
        <f t="shared" si="3"/>
        <v>vis</v>
      </c>
      <c r="E32" s="27">
        <f>VLOOKUP(C32,Active!C$21:E$973,3,FALSE)</f>
        <v>2335.5192555150902</v>
      </c>
      <c r="F32" s="3" t="s">
        <v>59</v>
      </c>
      <c r="G32" s="8" t="str">
        <f t="shared" si="4"/>
        <v>54764.4984</v>
      </c>
      <c r="H32" s="19">
        <f t="shared" si="5"/>
        <v>4760.5</v>
      </c>
      <c r="I32" s="28" t="s">
        <v>199</v>
      </c>
      <c r="J32" s="29" t="s">
        <v>200</v>
      </c>
      <c r="K32" s="28" t="s">
        <v>201</v>
      </c>
      <c r="L32" s="28" t="s">
        <v>202</v>
      </c>
      <c r="M32" s="29" t="s">
        <v>64</v>
      </c>
      <c r="N32" s="29" t="s">
        <v>192</v>
      </c>
      <c r="O32" s="30" t="s">
        <v>203</v>
      </c>
      <c r="P32" s="31" t="s">
        <v>194</v>
      </c>
    </row>
    <row r="33" spans="1:16" ht="12.75" customHeight="1" thickBot="1">
      <c r="A33" s="19" t="str">
        <f t="shared" si="0"/>
        <v>IBVS 2073 </v>
      </c>
      <c r="B33" s="3" t="str">
        <f t="shared" si="1"/>
        <v>II</v>
      </c>
      <c r="C33" s="19">
        <f t="shared" si="2"/>
        <v>44562.469100000002</v>
      </c>
      <c r="D33" s="8" t="str">
        <f t="shared" si="3"/>
        <v>vis</v>
      </c>
      <c r="E33" s="27">
        <f>VLOOKUP(C33,Active!C$21:E$973,3,FALSE)</f>
        <v>-19115.160932204093</v>
      </c>
      <c r="F33" s="3" t="s">
        <v>59</v>
      </c>
      <c r="G33" s="8" t="str">
        <f t="shared" si="4"/>
        <v>44562.4691</v>
      </c>
      <c r="H33" s="19">
        <f t="shared" si="5"/>
        <v>-16685.5</v>
      </c>
      <c r="I33" s="28" t="s">
        <v>61</v>
      </c>
      <c r="J33" s="29" t="s">
        <v>62</v>
      </c>
      <c r="K33" s="28">
        <v>-16685.5</v>
      </c>
      <c r="L33" s="28" t="s">
        <v>63</v>
      </c>
      <c r="M33" s="29" t="s">
        <v>64</v>
      </c>
      <c r="N33" s="29" t="s">
        <v>65</v>
      </c>
      <c r="O33" s="30" t="s">
        <v>66</v>
      </c>
      <c r="P33" s="31" t="s">
        <v>67</v>
      </c>
    </row>
    <row r="34" spans="1:16" ht="12.75" customHeight="1" thickBot="1">
      <c r="A34" s="19" t="str">
        <f t="shared" si="0"/>
        <v>BAVM 225 </v>
      </c>
      <c r="B34" s="3" t="str">
        <f t="shared" si="1"/>
        <v>I</v>
      </c>
      <c r="C34" s="19">
        <f t="shared" si="2"/>
        <v>47804.430999999997</v>
      </c>
      <c r="D34" s="8" t="str">
        <f t="shared" si="3"/>
        <v>vis</v>
      </c>
      <c r="E34" s="27">
        <f>VLOOKUP(C34,Active!C$21:E$973,3,FALSE)</f>
        <v>-12298.645722071304</v>
      </c>
      <c r="F34" s="3" t="s">
        <v>59</v>
      </c>
      <c r="G34" s="8" t="str">
        <f t="shared" si="4"/>
        <v>47804.431</v>
      </c>
      <c r="H34" s="19">
        <f t="shared" si="5"/>
        <v>-9871</v>
      </c>
      <c r="I34" s="28" t="s">
        <v>68</v>
      </c>
      <c r="J34" s="29" t="s">
        <v>69</v>
      </c>
      <c r="K34" s="28">
        <v>-9871</v>
      </c>
      <c r="L34" s="28" t="s">
        <v>70</v>
      </c>
      <c r="M34" s="29" t="s">
        <v>71</v>
      </c>
      <c r="N34" s="29" t="s">
        <v>72</v>
      </c>
      <c r="O34" s="30" t="s">
        <v>73</v>
      </c>
      <c r="P34" s="31" t="s">
        <v>74</v>
      </c>
    </row>
    <row r="35" spans="1:16" ht="12.75" customHeight="1" thickBot="1">
      <c r="A35" s="19" t="str">
        <f t="shared" si="0"/>
        <v>BAVM 225 </v>
      </c>
      <c r="B35" s="3" t="str">
        <f t="shared" si="1"/>
        <v>II</v>
      </c>
      <c r="C35" s="19">
        <f t="shared" si="2"/>
        <v>47985.36</v>
      </c>
      <c r="D35" s="8" t="str">
        <f t="shared" si="3"/>
        <v>vis</v>
      </c>
      <c r="E35" s="27">
        <f>VLOOKUP(C35,Active!C$21:E$973,3,FALSE)</f>
        <v>-11918.226297508005</v>
      </c>
      <c r="F35" s="3" t="s">
        <v>59</v>
      </c>
      <c r="G35" s="8" t="str">
        <f t="shared" si="4"/>
        <v>47985.360</v>
      </c>
      <c r="H35" s="19">
        <f t="shared" si="5"/>
        <v>-9490.5</v>
      </c>
      <c r="I35" s="28" t="s">
        <v>75</v>
      </c>
      <c r="J35" s="29" t="s">
        <v>76</v>
      </c>
      <c r="K35" s="28">
        <v>-9490.5</v>
      </c>
      <c r="L35" s="28" t="s">
        <v>77</v>
      </c>
      <c r="M35" s="29" t="s">
        <v>71</v>
      </c>
      <c r="N35" s="29" t="s">
        <v>72</v>
      </c>
      <c r="O35" s="30" t="s">
        <v>73</v>
      </c>
      <c r="P35" s="31" t="s">
        <v>74</v>
      </c>
    </row>
    <row r="36" spans="1:16" ht="12.75" customHeight="1" thickBot="1">
      <c r="A36" s="19" t="str">
        <f t="shared" si="0"/>
        <v>BAVM 225 </v>
      </c>
      <c r="B36" s="3" t="str">
        <f t="shared" si="1"/>
        <v>II</v>
      </c>
      <c r="C36" s="19">
        <f t="shared" si="2"/>
        <v>48983.220999999998</v>
      </c>
      <c r="D36" s="8" t="str">
        <f t="shared" si="3"/>
        <v>vis</v>
      </c>
      <c r="E36" s="27">
        <f>VLOOKUP(C36,Active!C$21:E$973,3,FALSE)</f>
        <v>-9820.1341872650355</v>
      </c>
      <c r="F36" s="3" t="s">
        <v>59</v>
      </c>
      <c r="G36" s="8" t="str">
        <f t="shared" si="4"/>
        <v>48983.221</v>
      </c>
      <c r="H36" s="19">
        <f t="shared" si="5"/>
        <v>-7392.5</v>
      </c>
      <c r="I36" s="28" t="s">
        <v>78</v>
      </c>
      <c r="J36" s="29" t="s">
        <v>79</v>
      </c>
      <c r="K36" s="28">
        <v>-7392.5</v>
      </c>
      <c r="L36" s="28" t="s">
        <v>80</v>
      </c>
      <c r="M36" s="29" t="s">
        <v>71</v>
      </c>
      <c r="N36" s="29" t="s">
        <v>59</v>
      </c>
      <c r="O36" s="30" t="s">
        <v>73</v>
      </c>
      <c r="P36" s="31" t="s">
        <v>74</v>
      </c>
    </row>
    <row r="37" spans="1:16" ht="12.75" customHeight="1" thickBot="1">
      <c r="A37" s="19" t="str">
        <f t="shared" si="0"/>
        <v>BAVM 225 </v>
      </c>
      <c r="B37" s="3" t="str">
        <f t="shared" si="1"/>
        <v>I</v>
      </c>
      <c r="C37" s="19">
        <f t="shared" si="2"/>
        <v>48987.26</v>
      </c>
      <c r="D37" s="8" t="str">
        <f t="shared" si="3"/>
        <v>vis</v>
      </c>
      <c r="E37" s="27">
        <f>VLOOKUP(C37,Active!C$21:E$973,3,FALSE)</f>
        <v>-9811.6418280754478</v>
      </c>
      <c r="F37" s="3" t="s">
        <v>59</v>
      </c>
      <c r="G37" s="8" t="str">
        <f t="shared" si="4"/>
        <v>48987.260</v>
      </c>
      <c r="H37" s="19">
        <f t="shared" si="5"/>
        <v>-7384</v>
      </c>
      <c r="I37" s="28" t="s">
        <v>81</v>
      </c>
      <c r="J37" s="29" t="s">
        <v>82</v>
      </c>
      <c r="K37" s="28">
        <v>-7384</v>
      </c>
      <c r="L37" s="28" t="s">
        <v>83</v>
      </c>
      <c r="M37" s="29" t="s">
        <v>71</v>
      </c>
      <c r="N37" s="29" t="s">
        <v>59</v>
      </c>
      <c r="O37" s="30" t="s">
        <v>73</v>
      </c>
      <c r="P37" s="31" t="s">
        <v>74</v>
      </c>
    </row>
    <row r="38" spans="1:16" ht="12.75" customHeight="1" thickBot="1">
      <c r="A38" s="19" t="str">
        <f t="shared" si="0"/>
        <v>BAVM 225 </v>
      </c>
      <c r="B38" s="3" t="str">
        <f t="shared" si="1"/>
        <v>II</v>
      </c>
      <c r="C38" s="19">
        <f t="shared" si="2"/>
        <v>48992.254000000001</v>
      </c>
      <c r="D38" s="8" t="str">
        <f t="shared" si="3"/>
        <v>vis</v>
      </c>
      <c r="E38" s="27">
        <f>VLOOKUP(C38,Active!C$21:E$973,3,FALSE)</f>
        <v>-9801.1414958663026</v>
      </c>
      <c r="F38" s="3" t="s">
        <v>59</v>
      </c>
      <c r="G38" s="8" t="str">
        <f t="shared" si="4"/>
        <v>48992.254</v>
      </c>
      <c r="H38" s="19">
        <f t="shared" si="5"/>
        <v>-7373.5</v>
      </c>
      <c r="I38" s="28" t="s">
        <v>84</v>
      </c>
      <c r="J38" s="29" t="s">
        <v>85</v>
      </c>
      <c r="K38" s="28">
        <v>-7373.5</v>
      </c>
      <c r="L38" s="28" t="s">
        <v>83</v>
      </c>
      <c r="M38" s="29" t="s">
        <v>71</v>
      </c>
      <c r="N38" s="29" t="s">
        <v>59</v>
      </c>
      <c r="O38" s="30" t="s">
        <v>73</v>
      </c>
      <c r="P38" s="31" t="s">
        <v>74</v>
      </c>
    </row>
    <row r="39" spans="1:16" ht="12.75" customHeight="1" thickBot="1">
      <c r="A39" s="19" t="str">
        <f t="shared" si="0"/>
        <v> AJ 118, 515 </v>
      </c>
      <c r="B39" s="3" t="str">
        <f t="shared" si="1"/>
        <v>II</v>
      </c>
      <c r="C39" s="19">
        <f t="shared" si="2"/>
        <v>50333.472000000002</v>
      </c>
      <c r="D39" s="8" t="str">
        <f t="shared" si="3"/>
        <v>vis</v>
      </c>
      <c r="E39" s="27">
        <f>VLOOKUP(C39,Active!C$21:E$973,3,FALSE)</f>
        <v>-6981.1105457481353</v>
      </c>
      <c r="F39" s="3" t="s">
        <v>59</v>
      </c>
      <c r="G39" s="8" t="str">
        <f t="shared" si="4"/>
        <v>50333.4720</v>
      </c>
      <c r="H39" s="19">
        <f t="shared" si="5"/>
        <v>-4553.5</v>
      </c>
      <c r="I39" s="28" t="s">
        <v>108</v>
      </c>
      <c r="J39" s="29" t="s">
        <v>109</v>
      </c>
      <c r="K39" s="28">
        <v>-4553.5</v>
      </c>
      <c r="L39" s="28" t="s">
        <v>110</v>
      </c>
      <c r="M39" s="29" t="s">
        <v>64</v>
      </c>
      <c r="N39" s="29" t="s">
        <v>65</v>
      </c>
      <c r="O39" s="30" t="s">
        <v>111</v>
      </c>
      <c r="P39" s="30" t="s">
        <v>112</v>
      </c>
    </row>
    <row r="40" spans="1:16" ht="12.75" customHeight="1" thickBot="1">
      <c r="A40" s="19" t="str">
        <f t="shared" si="0"/>
        <v>IBVS 5754 </v>
      </c>
      <c r="B40" s="3" t="str">
        <f t="shared" si="1"/>
        <v>II</v>
      </c>
      <c r="C40" s="19">
        <f t="shared" si="2"/>
        <v>53642.540500000003</v>
      </c>
      <c r="D40" s="8" t="str">
        <f t="shared" si="3"/>
        <v>vis</v>
      </c>
      <c r="E40" s="27">
        <f>VLOOKUP(C40,Active!C$21:E$973,3,FALSE)</f>
        <v>-23.497699767022624</v>
      </c>
      <c r="F40" s="3" t="s">
        <v>59</v>
      </c>
      <c r="G40" s="8" t="str">
        <f t="shared" si="4"/>
        <v>53642.5405</v>
      </c>
      <c r="H40" s="19">
        <f t="shared" si="5"/>
        <v>2401.5</v>
      </c>
      <c r="I40" s="28" t="s">
        <v>168</v>
      </c>
      <c r="J40" s="29" t="s">
        <v>169</v>
      </c>
      <c r="K40" s="28" t="s">
        <v>170</v>
      </c>
      <c r="L40" s="28" t="s">
        <v>171</v>
      </c>
      <c r="M40" s="29" t="s">
        <v>64</v>
      </c>
      <c r="N40" s="29" t="s">
        <v>65</v>
      </c>
      <c r="O40" s="30" t="s">
        <v>172</v>
      </c>
      <c r="P40" s="31" t="s">
        <v>173</v>
      </c>
    </row>
    <row r="41" spans="1:16" ht="12.75" customHeight="1" thickBot="1">
      <c r="A41" s="19" t="str">
        <f t="shared" si="0"/>
        <v>IBVS 5754 </v>
      </c>
      <c r="B41" s="3" t="str">
        <f t="shared" si="1"/>
        <v>I</v>
      </c>
      <c r="C41" s="19">
        <f t="shared" si="2"/>
        <v>53709.3197</v>
      </c>
      <c r="D41" s="8" t="str">
        <f t="shared" si="3"/>
        <v>vis</v>
      </c>
      <c r="E41" s="27">
        <f>VLOOKUP(C41,Active!C$21:E$973,3,FALSE)</f>
        <v>116.91154826284512</v>
      </c>
      <c r="F41" s="3" t="s">
        <v>59</v>
      </c>
      <c r="G41" s="8" t="str">
        <f t="shared" si="4"/>
        <v>53709.3197</v>
      </c>
      <c r="H41" s="19">
        <f t="shared" si="5"/>
        <v>2542</v>
      </c>
      <c r="I41" s="28" t="s">
        <v>174</v>
      </c>
      <c r="J41" s="29" t="s">
        <v>175</v>
      </c>
      <c r="K41" s="28" t="s">
        <v>176</v>
      </c>
      <c r="L41" s="28" t="s">
        <v>177</v>
      </c>
      <c r="M41" s="29" t="s">
        <v>64</v>
      </c>
      <c r="N41" s="29" t="s">
        <v>65</v>
      </c>
      <c r="O41" s="30" t="s">
        <v>172</v>
      </c>
      <c r="P41" s="31" t="s">
        <v>173</v>
      </c>
    </row>
    <row r="42" spans="1:16" ht="12.75" customHeight="1" thickBot="1">
      <c r="A42" s="19" t="str">
        <f t="shared" si="0"/>
        <v>VSB 45 </v>
      </c>
      <c r="B42" s="3" t="str">
        <f t="shared" si="1"/>
        <v>I</v>
      </c>
      <c r="C42" s="19">
        <f t="shared" si="2"/>
        <v>54006.143300000003</v>
      </c>
      <c r="D42" s="8" t="str">
        <f t="shared" si="3"/>
        <v>vis</v>
      </c>
      <c r="E42" s="27">
        <f>VLOOKUP(C42,Active!C$21:E$973,3,FALSE)</f>
        <v>741.00974760516215</v>
      </c>
      <c r="F42" s="3" t="s">
        <v>59</v>
      </c>
      <c r="G42" s="8" t="str">
        <f t="shared" si="4"/>
        <v>54006.1433</v>
      </c>
      <c r="H42" s="19">
        <f t="shared" si="5"/>
        <v>3166</v>
      </c>
      <c r="I42" s="28" t="s">
        <v>182</v>
      </c>
      <c r="J42" s="29" t="s">
        <v>183</v>
      </c>
      <c r="K42" s="28" t="s">
        <v>184</v>
      </c>
      <c r="L42" s="28" t="s">
        <v>185</v>
      </c>
      <c r="M42" s="29" t="s">
        <v>64</v>
      </c>
      <c r="N42" s="29" t="s">
        <v>65</v>
      </c>
      <c r="O42" s="30" t="s">
        <v>186</v>
      </c>
      <c r="P42" s="31" t="s">
        <v>187</v>
      </c>
    </row>
    <row r="43" spans="1:16" ht="12.75" customHeight="1" thickBot="1">
      <c r="A43" s="19" t="str">
        <f t="shared" si="0"/>
        <v>VSB 50 </v>
      </c>
      <c r="B43" s="3" t="str">
        <f t="shared" si="1"/>
        <v>I</v>
      </c>
      <c r="C43" s="19">
        <f t="shared" si="2"/>
        <v>54848.915500000003</v>
      </c>
      <c r="D43" s="8" t="str">
        <f t="shared" si="3"/>
        <v>vis</v>
      </c>
      <c r="E43" s="27">
        <f>VLOOKUP(C43,Active!C$21:E$973,3,FALSE)</f>
        <v>2513.0137677563789</v>
      </c>
      <c r="F43" s="3" t="s">
        <v>59</v>
      </c>
      <c r="G43" s="8" t="str">
        <f t="shared" si="4"/>
        <v>54848.9155</v>
      </c>
      <c r="H43" s="19">
        <f t="shared" si="5"/>
        <v>4938</v>
      </c>
      <c r="I43" s="28" t="s">
        <v>204</v>
      </c>
      <c r="J43" s="29" t="s">
        <v>205</v>
      </c>
      <c r="K43" s="28" t="s">
        <v>206</v>
      </c>
      <c r="L43" s="28" t="s">
        <v>207</v>
      </c>
      <c r="M43" s="29" t="s">
        <v>71</v>
      </c>
      <c r="N43" s="29" t="s">
        <v>208</v>
      </c>
      <c r="O43" s="30" t="s">
        <v>209</v>
      </c>
      <c r="P43" s="31" t="s">
        <v>210</v>
      </c>
    </row>
    <row r="44" spans="1:16" ht="12.75" customHeight="1" thickBot="1">
      <c r="A44" s="19" t="str">
        <f t="shared" si="0"/>
        <v>VSB 51 </v>
      </c>
      <c r="B44" s="3" t="str">
        <f t="shared" si="1"/>
        <v>I</v>
      </c>
      <c r="C44" s="19">
        <f t="shared" si="2"/>
        <v>55510.949500000002</v>
      </c>
      <c r="D44" s="8" t="str">
        <f t="shared" si="3"/>
        <v>vis</v>
      </c>
      <c r="E44" s="27">
        <f>VLOOKUP(C44,Active!C$21:E$973,3,FALSE)</f>
        <v>3904.9995374303085</v>
      </c>
      <c r="F44" s="3" t="s">
        <v>59</v>
      </c>
      <c r="G44" s="8" t="str">
        <f t="shared" si="4"/>
        <v>55510.9495</v>
      </c>
      <c r="H44" s="19">
        <f t="shared" si="5"/>
        <v>6330</v>
      </c>
      <c r="I44" s="28" t="s">
        <v>211</v>
      </c>
      <c r="J44" s="29" t="s">
        <v>212</v>
      </c>
      <c r="K44" s="28" t="s">
        <v>213</v>
      </c>
      <c r="L44" s="28" t="s">
        <v>135</v>
      </c>
      <c r="M44" s="29" t="s">
        <v>71</v>
      </c>
      <c r="N44" s="29" t="s">
        <v>214</v>
      </c>
      <c r="O44" s="30" t="s">
        <v>215</v>
      </c>
      <c r="P44" s="31" t="s">
        <v>216</v>
      </c>
    </row>
    <row r="45" spans="1:16" ht="12.75" customHeight="1" thickBot="1">
      <c r="A45" s="19" t="str">
        <f t="shared" si="0"/>
        <v>VSB 53 </v>
      </c>
      <c r="B45" s="3" t="str">
        <f t="shared" si="1"/>
        <v>I</v>
      </c>
      <c r="C45" s="19">
        <f t="shared" si="2"/>
        <v>55891.913099999998</v>
      </c>
      <c r="D45" s="8" t="str">
        <f t="shared" si="3"/>
        <v>vis</v>
      </c>
      <c r="E45" s="27">
        <f>VLOOKUP(C45,Active!C$21:E$973,3,FALSE)</f>
        <v>4706.0096214497771</v>
      </c>
      <c r="F45" s="3" t="s">
        <v>59</v>
      </c>
      <c r="G45" s="8" t="str">
        <f t="shared" si="4"/>
        <v>55891.9131</v>
      </c>
      <c r="H45" s="19">
        <f t="shared" si="5"/>
        <v>7131</v>
      </c>
      <c r="I45" s="28" t="s">
        <v>217</v>
      </c>
      <c r="J45" s="29" t="s">
        <v>218</v>
      </c>
      <c r="K45" s="28" t="s">
        <v>219</v>
      </c>
      <c r="L45" s="28" t="s">
        <v>220</v>
      </c>
      <c r="M45" s="29" t="s">
        <v>71</v>
      </c>
      <c r="N45" s="29" t="s">
        <v>214</v>
      </c>
      <c r="O45" s="30" t="s">
        <v>215</v>
      </c>
      <c r="P45" s="31" t="s">
        <v>221</v>
      </c>
    </row>
    <row r="46" spans="1:16" ht="12.75" customHeight="1" thickBot="1">
      <c r="A46" s="19" t="str">
        <f t="shared" si="0"/>
        <v>VSB 55 </v>
      </c>
      <c r="B46" s="3" t="str">
        <f t="shared" si="1"/>
        <v>I</v>
      </c>
      <c r="C46" s="19">
        <f t="shared" si="2"/>
        <v>56241.9568</v>
      </c>
      <c r="D46" s="8" t="str">
        <f t="shared" si="3"/>
        <v>vis</v>
      </c>
      <c r="E46" s="27">
        <f>VLOOKUP(C46,Active!C$21:E$973,3,FALSE)</f>
        <v>5442.0078468642023</v>
      </c>
      <c r="F46" s="3" t="s">
        <v>59</v>
      </c>
      <c r="G46" s="8" t="str">
        <f t="shared" si="4"/>
        <v>56241.9568</v>
      </c>
      <c r="H46" s="19">
        <f t="shared" si="5"/>
        <v>7867</v>
      </c>
      <c r="I46" s="28" t="s">
        <v>222</v>
      </c>
      <c r="J46" s="29" t="s">
        <v>223</v>
      </c>
      <c r="K46" s="28" t="s">
        <v>224</v>
      </c>
      <c r="L46" s="28" t="s">
        <v>225</v>
      </c>
      <c r="M46" s="29" t="s">
        <v>71</v>
      </c>
      <c r="N46" s="29" t="s">
        <v>59</v>
      </c>
      <c r="O46" s="30" t="s">
        <v>215</v>
      </c>
      <c r="P46" s="31" t="s">
        <v>226</v>
      </c>
    </row>
    <row r="47" spans="1:16" ht="12.75" customHeight="1" thickBot="1">
      <c r="A47" s="19" t="str">
        <f t="shared" si="0"/>
        <v>VSB 59 </v>
      </c>
      <c r="B47" s="3" t="str">
        <f t="shared" si="1"/>
        <v>II</v>
      </c>
      <c r="C47" s="19">
        <f t="shared" si="2"/>
        <v>56917.077400000002</v>
      </c>
      <c r="D47" s="8" t="str">
        <f t="shared" si="3"/>
        <v>vis</v>
      </c>
      <c r="E47" s="27">
        <f>VLOOKUP(C47,Active!C$21:E$973,3,FALSE)</f>
        <v>6861.5093649338605</v>
      </c>
      <c r="F47" s="3" t="s">
        <v>59</v>
      </c>
      <c r="G47" s="8" t="str">
        <f t="shared" si="4"/>
        <v>56917.0774</v>
      </c>
      <c r="H47" s="19">
        <f t="shared" si="5"/>
        <v>9286.5</v>
      </c>
      <c r="I47" s="28" t="s">
        <v>227</v>
      </c>
      <c r="J47" s="29" t="s">
        <v>228</v>
      </c>
      <c r="K47" s="28" t="s">
        <v>229</v>
      </c>
      <c r="L47" s="28" t="s">
        <v>230</v>
      </c>
      <c r="M47" s="29" t="s">
        <v>71</v>
      </c>
      <c r="N47" s="29" t="s">
        <v>208</v>
      </c>
      <c r="O47" s="30" t="s">
        <v>215</v>
      </c>
      <c r="P47" s="31" t="s">
        <v>231</v>
      </c>
    </row>
    <row r="48" spans="1:1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</sheetData>
  <phoneticPr fontId="8" type="noConversion"/>
  <hyperlinks>
    <hyperlink ref="P33" r:id="rId1" display="http://www.konkoly.hu/cgi-bin/IBVS?2073" xr:uid="{00000000-0004-0000-0100-000000000000}"/>
    <hyperlink ref="P34" r:id="rId2" display="http://www.bav-astro.de/sfs/BAVM_link.php?BAVMnr=225" xr:uid="{00000000-0004-0000-0100-000001000000}"/>
    <hyperlink ref="P35" r:id="rId3" display="http://www.bav-astro.de/sfs/BAVM_link.php?BAVMnr=225" xr:uid="{00000000-0004-0000-0100-000002000000}"/>
    <hyperlink ref="P36" r:id="rId4" display="http://www.bav-astro.de/sfs/BAVM_link.php?BAVMnr=225" xr:uid="{00000000-0004-0000-0100-000003000000}"/>
    <hyperlink ref="P37" r:id="rId5" display="http://www.bav-astro.de/sfs/BAVM_link.php?BAVMnr=225" xr:uid="{00000000-0004-0000-0100-000004000000}"/>
    <hyperlink ref="P38" r:id="rId6" display="http://www.bav-astro.de/sfs/BAVM_link.php?BAVMnr=225" xr:uid="{00000000-0004-0000-0100-000005000000}"/>
    <hyperlink ref="P11" r:id="rId7" display="http://www.konkoly.hu/cgi-bin/IBVS?4380" xr:uid="{00000000-0004-0000-0100-000006000000}"/>
    <hyperlink ref="P12" r:id="rId8" display="http://www.konkoly.hu/cgi-bin/IBVS?4380" xr:uid="{00000000-0004-0000-0100-000007000000}"/>
    <hyperlink ref="P13" r:id="rId9" display="http://www.konkoly.hu/cgi-bin/IBVS?4380" xr:uid="{00000000-0004-0000-0100-000008000000}"/>
    <hyperlink ref="P14" r:id="rId10" display="http://www.konkoly.hu/cgi-bin/IBVS?4126" xr:uid="{00000000-0004-0000-0100-000009000000}"/>
    <hyperlink ref="P15" r:id="rId11" display="http://www.konkoly.hu/cgi-bin/IBVS?4126" xr:uid="{00000000-0004-0000-0100-00000A000000}"/>
    <hyperlink ref="P16" r:id="rId12" display="http://www.konkoly.hu/cgi-bin/IBVS?5463" xr:uid="{00000000-0004-0000-0100-00000B000000}"/>
    <hyperlink ref="P17" r:id="rId13" display="http://www.konkoly.hu/cgi-bin/IBVS?5439" xr:uid="{00000000-0004-0000-0100-00000C000000}"/>
    <hyperlink ref="P18" r:id="rId14" display="http://www.konkoly.hu/cgi-bin/IBVS?5463" xr:uid="{00000000-0004-0000-0100-00000D000000}"/>
    <hyperlink ref="P19" r:id="rId15" display="http://www.konkoly.hu/cgi-bin/IBVS?5843" xr:uid="{00000000-0004-0000-0100-00000E000000}"/>
    <hyperlink ref="P20" r:id="rId16" display="http://www.konkoly.hu/cgi-bin/IBVS?5843" xr:uid="{00000000-0004-0000-0100-00000F000000}"/>
    <hyperlink ref="P21" r:id="rId17" display="http://www.konkoly.hu/cgi-bin/IBVS?5843" xr:uid="{00000000-0004-0000-0100-000010000000}"/>
    <hyperlink ref="P22" r:id="rId18" display="http://www.konkoly.hu/cgi-bin/IBVS?5843" xr:uid="{00000000-0004-0000-0100-000011000000}"/>
    <hyperlink ref="P23" r:id="rId19" display="http://www.konkoly.hu/cgi-bin/IBVS?5843" xr:uid="{00000000-0004-0000-0100-000012000000}"/>
    <hyperlink ref="P24" r:id="rId20" display="http://www.konkoly.hu/cgi-bin/IBVS?5843" xr:uid="{00000000-0004-0000-0100-000013000000}"/>
    <hyperlink ref="P25" r:id="rId21" display="http://www.konkoly.hu/cgi-bin/IBVS?5843" xr:uid="{00000000-0004-0000-0100-000014000000}"/>
    <hyperlink ref="P26" r:id="rId22" display="http://www.konkoly.hu/cgi-bin/IBVS?5843" xr:uid="{00000000-0004-0000-0100-000015000000}"/>
    <hyperlink ref="P27" r:id="rId23" display="http://www.konkoly.hu/cgi-bin/IBVS?5843" xr:uid="{00000000-0004-0000-0100-000016000000}"/>
    <hyperlink ref="P28" r:id="rId24" display="http://www.konkoly.hu/cgi-bin/IBVS?5843" xr:uid="{00000000-0004-0000-0100-000017000000}"/>
    <hyperlink ref="P40" r:id="rId25" display="http://www.konkoly.hu/cgi-bin/IBVS?5754" xr:uid="{00000000-0004-0000-0100-000018000000}"/>
    <hyperlink ref="P41" r:id="rId26" display="http://www.konkoly.hu/cgi-bin/IBVS?5754" xr:uid="{00000000-0004-0000-0100-000019000000}"/>
    <hyperlink ref="P29" r:id="rId27" display="http://www.konkoly.hu/cgi-bin/IBVS?5843" xr:uid="{00000000-0004-0000-0100-00001A000000}"/>
    <hyperlink ref="P42" r:id="rId28" display="http://vsolj.cetus-net.org/no45.pdf" xr:uid="{00000000-0004-0000-0100-00001B000000}"/>
    <hyperlink ref="P30" r:id="rId29" display="http://www.konkoly.hu/cgi-bin/IBVS?5887" xr:uid="{00000000-0004-0000-0100-00001C000000}"/>
    <hyperlink ref="P31" r:id="rId30" display="http://www.konkoly.hu/cgi-bin/IBVS?5887" xr:uid="{00000000-0004-0000-0100-00001D000000}"/>
    <hyperlink ref="P32" r:id="rId31" display="http://www.konkoly.hu/cgi-bin/IBVS?5887" xr:uid="{00000000-0004-0000-0100-00001E000000}"/>
    <hyperlink ref="P43" r:id="rId32" display="http://vsolj.cetus-net.org/vsoljno50.pdf" xr:uid="{00000000-0004-0000-0100-00001F000000}"/>
    <hyperlink ref="P44" r:id="rId33" display="http://vsolj.cetus-net.org/vsoljno51.pdf" xr:uid="{00000000-0004-0000-0100-000020000000}"/>
    <hyperlink ref="P45" r:id="rId34" display="http://vsolj.cetus-net.org/vsoljno53.pdf" xr:uid="{00000000-0004-0000-0100-000021000000}"/>
    <hyperlink ref="P46" r:id="rId35" display="http://vsolj.cetus-net.org/vsoljno55.pdf" xr:uid="{00000000-0004-0000-0100-000022000000}"/>
    <hyperlink ref="P47" r:id="rId36" display="http://vsolj.cetus-net.org/vsoljno59.pdf" xr:uid="{00000000-0004-0000-0100-00002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2024-09-28T08:09:48Z</dcterms:modified>
</cp:coreProperties>
</file>