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A98C1BE-22E1-416D-B619-885953D87C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9" i="1" l="1"/>
  <c r="D9" i="1"/>
  <c r="F16" i="1"/>
  <c r="F17" i="1" s="1"/>
  <c r="C17" i="1"/>
  <c r="E21" i="1"/>
  <c r="F21" i="1"/>
  <c r="G21" i="1"/>
  <c r="I21" i="1"/>
  <c r="Q21" i="1"/>
  <c r="E22" i="1"/>
  <c r="F22" i="1"/>
  <c r="G22" i="1"/>
  <c r="I22" i="1"/>
  <c r="Q22" i="1"/>
  <c r="E23" i="1"/>
  <c r="F23" i="1"/>
  <c r="G23" i="1"/>
  <c r="K23" i="1"/>
  <c r="Q23" i="1"/>
  <c r="C12" i="1"/>
  <c r="C11" i="1"/>
  <c r="O23" i="1" l="1"/>
  <c r="O22" i="1"/>
  <c r="O21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<sst xmlns="http://schemas.openxmlformats.org/spreadsheetml/2006/main" count="54" uniqueCount="49">
  <si>
    <t>GX Psc / GSC 2291-0266</t>
  </si>
  <si>
    <t>System Type:</t>
  </si>
  <si>
    <t>EW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</si>
  <si>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</si>
  <si>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</si>
  <si>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</si>
  <si>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</si>
  <si>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</si>
  <si>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</si>
  <si>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OEJV 0147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</si>
  <si>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</si>
  <si>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</si>
  <si>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</si>
  <si>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</si>
  <si>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</si>
  <si>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</si>
  <si>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</si>
  <si>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</si>
  <si>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</si>
  <si>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</si>
  <si>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</si>
  <si>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</si>
  <si>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</si>
  <si>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</si>
  <si>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</si>
  <si>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</si>
  <si>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</si>
  <si>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</si>
  <si>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</si>
  <si>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</si>
  <si>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</si>
  <si>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</si>
  <si>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</si>
  <si>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</si>
  <si>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</si>
  <si>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</si>
  <si>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</si>
  <si>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</si>
  <si>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</si>
  <si>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</si>
  <si>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</si>
  <si>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</si>
  <si>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</si>
  <si>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</si>
  <si>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</si>
  <si>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</t>
  </si>
  <si>
    <t>VSB-064</t>
  </si>
  <si>
    <t>II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</si>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</sst>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0.0000"/>
    <numFmt numFmtId="168" formatCode="dd/mm/yyyy"/>
  </numFmts>
  <fonts count="27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7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26" fillId="0" borderId="0" applyFill="0" applyBorder="0" applyProtection="0">
      <alignment vertical="top"/>
    </xf>
    <xf numFmtId="164" fontId="26" fillId="0" borderId="0" applyFill="0" applyBorder="0" applyProtection="0">
      <alignment vertical="top"/>
    </xf>
    <xf numFmtId="0" fontId="26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26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26" fillId="0" borderId="0"/>
    <xf numFmtId="0" fontId="26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26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39">
    <xf numFmtId="0" fontId="0" fillId="0" borderId="0" xfId="0">
      <alignment vertical="top"/>
    </xf>
    <xf numFmtId="0" fontId="0" fillId="0" borderId="0" xfId="0" applyFill="1" applyAlignment="1"/>
    <xf numFmtId="0" fontId="17" fillId="0" borderId="0" xfId="0" applyFont="1" applyFill="1" applyAlignment="1"/>
    <xf numFmtId="0" fontId="0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68" fontId="0" fillId="0" borderId="0" xfId="0" applyNumberForma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41" applyFont="1" applyAlignment="1">
      <alignment horizontal="left" vertical="center"/>
    </xf>
    <xf numFmtId="0" fontId="25" fillId="0" borderId="0" xfId="41" applyFont="1" applyBorder="1" applyAlignment="1">
      <alignment horizontal="center" vertical="center"/>
    </xf>
    <xf numFmtId="167" fontId="25" fillId="0" borderId="0" xfId="41" applyNumberFormat="1" applyFont="1" applyFill="1" applyBorder="1" applyAlignment="1" applyProtection="1">
      <alignment horizontal="left" vertical="center"/>
    </xf>
    <xf numFmtId="0" fontId="25" fillId="0" borderId="0" xfId="41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GX Psc - O-C Diagr.</a:t>
            </a:r>
          </a:p>
        </c:rich>
      </c:tx>
      <c:layout>
        <c:manualLayout>
          <c:xMode val="edge"/>
          <c:yMode val="edge"/>
          <c:x val="0.38646616541353385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959899749373"/>
          <c:y val="0.1541547847059658"/>
          <c:w val="0.81604010025062657"/>
          <c:h val="0.62963120600915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8234</c:v>
                </c:pt>
                <c:pt idx="2">
                  <c:v>15082</c:v>
                </c:pt>
              </c:numCache>
            </c:numRef>
          </c:xVal>
          <c:yVal>
            <c:numRef>
              <c:f>Active!$H$21:$H$23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78-4D73-A654-6F7FC0E11D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8234</c:v>
                </c:pt>
                <c:pt idx="2">
                  <c:v>15082</c:v>
                </c:pt>
              </c:numCache>
            </c:numRef>
          </c:xVal>
          <c:yVal>
            <c:numRef>
              <c:f>Active!$I$21:$I$23</c:f>
              <c:numCache>
                <c:formatCode>General</c:formatCode>
                <c:ptCount val="3"/>
                <c:pt idx="0">
                  <c:v>0</c:v>
                </c:pt>
                <c:pt idx="1">
                  <c:v>4.5999999565538019E-4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78-4D73-A654-6F7FC0E11D3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8234</c:v>
                </c:pt>
                <c:pt idx="2">
                  <c:v>15082</c:v>
                </c:pt>
              </c:numCache>
            </c:numRef>
          </c:xVal>
          <c:yVal>
            <c:numRef>
              <c:f>Active!$J$21:$J$23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78-4D73-A654-6F7FC0E11D3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8234</c:v>
                </c:pt>
                <c:pt idx="2">
                  <c:v>15082</c:v>
                </c:pt>
              </c:numCache>
            </c:numRef>
          </c:xVal>
          <c:yVal>
            <c:numRef>
              <c:f>Active!$K$21:$K$23</c:f>
              <c:numCache>
                <c:formatCode>General</c:formatCode>
                <c:ptCount val="3"/>
                <c:pt idx="2">
                  <c:v>1.0480000004463363E-2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78-4D73-A654-6F7FC0E11D3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8234</c:v>
                </c:pt>
                <c:pt idx="2">
                  <c:v>15082</c:v>
                </c:pt>
              </c:numCache>
            </c:numRef>
          </c:xVal>
          <c:yVal>
            <c:numRef>
              <c:f>Active!$L$21:$L$23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78-4D73-A654-6F7FC0E11D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8234</c:v>
                </c:pt>
                <c:pt idx="2">
                  <c:v>15082</c:v>
                </c:pt>
              </c:numCache>
            </c:numRef>
          </c:xVal>
          <c:yVal>
            <c:numRef>
              <c:f>Active!$M$21:$M$23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78-4D73-A654-6F7FC0E11D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8234</c:v>
                </c:pt>
                <c:pt idx="2">
                  <c:v>15082</c:v>
                </c:pt>
              </c:numCache>
            </c:numRef>
          </c:xVal>
          <c:yVal>
            <c:numRef>
              <c:f>Active!$N$21:$N$23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78-4D73-A654-6F7FC0E11D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8234</c:v>
                </c:pt>
                <c:pt idx="2">
                  <c:v>15082</c:v>
                </c:pt>
              </c:numCache>
            </c:numRef>
          </c:xVal>
          <c:yVal>
            <c:numRef>
              <c:f>Active!$O$21:$O$23</c:f>
              <c:numCache>
                <c:formatCode>General</c:formatCode>
                <c:ptCount val="3"/>
                <c:pt idx="0">
                  <c:v>-1.5882025192603491E-3</c:v>
                </c:pt>
                <c:pt idx="1">
                  <c:v>3.9578490604165635E-3</c:v>
                </c:pt>
                <c:pt idx="2">
                  <c:v>8.5703534589625305E-3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78-4D73-A654-6F7FC0E11D3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8234</c:v>
                </c:pt>
                <c:pt idx="2">
                  <c:v>15082</c:v>
                </c:pt>
              </c:numCache>
            </c:numRef>
          </c:xVal>
          <c:yVal>
            <c:numRef>
              <c:f>Active!$U$21:$U$23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78-4D73-A654-6F7FC0E11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612144"/>
        <c:axId val="1"/>
      </c:scatterChart>
      <c:valAx>
        <c:axId val="870612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4586466165413533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06121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97744360902255"/>
          <c:y val="0.91591875339906836"/>
          <c:w val="0.79398496240601502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CD52EB-4D1D-4A09-E9D2-FC61FB4DD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" customWidth="1"/>
    <col min="19" max="16384" width="10.28515625" style="1"/>
  </cols>
  <sheetData>
    <row r="1" spans="1:18" ht="20.25" x14ac:dyDescent="0.3">
      <c r="A1" s="2" t="s">
        <v>0</v>
      </c>
    </row>
    <row r="2" spans="1:18" s="5" customFormat="1" ht="12.95" customHeight="1" x14ac:dyDescent="0.2">
      <c r="A2" s="5" t="s">
        <v>1</v>
      </c>
      <c r="B2" s="3" t="s">
        <v>2</v>
      </c>
      <c r="C2" s="6"/>
      <c r="D2" s="6"/>
      <c r="R2" s="7"/>
    </row>
    <row r="3" spans="1:18" s="5" customFormat="1" ht="12.95" customHeight="1" x14ac:dyDescent="0.2">
      <c r="R3" s="7"/>
    </row>
    <row r="4" spans="1:18" s="5" customFormat="1" ht="12.95" customHeight="1" x14ac:dyDescent="0.2">
      <c r="A4" s="8" t="s">
        <v>3</v>
      </c>
      <c r="C4" s="9" t="s">
        <v>4</v>
      </c>
      <c r="D4" s="10" t="s">
        <v>4</v>
      </c>
      <c r="R4" s="7"/>
    </row>
    <row r="5" spans="1:18" s="5" customFormat="1" ht="12.95" customHeight="1" x14ac:dyDescent="0.2">
      <c r="A5" s="11" t="s">
        <v>5</v>
      </c>
      <c r="B5" s="7"/>
      <c r="C5" s="12">
        <v>-9.5</v>
      </c>
      <c r="D5" s="7" t="s">
        <v>6</v>
      </c>
      <c r="R5" s="7"/>
    </row>
    <row r="6" spans="1:18" s="5" customFormat="1" ht="12.95" customHeight="1" x14ac:dyDescent="0.2">
      <c r="A6" s="8" t="s">
        <v>7</v>
      </c>
      <c r="R6" s="7"/>
    </row>
    <row r="7" spans="1:18" s="5" customFormat="1" ht="12.95" customHeight="1" x14ac:dyDescent="0.2">
      <c r="A7" s="5" t="s">
        <v>8</v>
      </c>
      <c r="C7" s="38">
        <v>51483.87</v>
      </c>
      <c r="D7" s="4" t="s">
        <v>9</v>
      </c>
      <c r="R7" s="7"/>
    </row>
    <row r="8" spans="1:18" s="5" customFormat="1" ht="12.95" customHeight="1" x14ac:dyDescent="0.2">
      <c r="A8" s="5" t="s">
        <v>10</v>
      </c>
      <c r="C8" s="38">
        <v>0.43430999999999997</v>
      </c>
      <c r="D8" s="4" t="s">
        <v>9</v>
      </c>
      <c r="R8" s="7"/>
    </row>
    <row r="9" spans="1:18" s="5" customFormat="1" ht="12.95" customHeight="1" x14ac:dyDescent="0.2">
      <c r="A9" s="14" t="s">
        <v>11</v>
      </c>
      <c r="B9" s="15">
        <v>21</v>
      </c>
      <c r="C9" s="16" t="str">
        <f>"F"&amp;B9</f>
        <v>F21</v>
      </c>
      <c r="D9" s="17" t="str">
        <f>"G"&amp;B9</f>
        <v>G21</v>
      </c>
      <c r="R9" s="7"/>
    </row>
    <row r="10" spans="1:18" s="5" customFormat="1" ht="12.95" customHeight="1" x14ac:dyDescent="0.2">
      <c r="A10" s="7"/>
      <c r="B10" s="7"/>
      <c r="C10" s="18" t="s">
        <v>12</v>
      </c>
      <c r="D10" s="18" t="s">
        <v>13</v>
      </c>
      <c r="E10" s="7"/>
      <c r="R10" s="7"/>
    </row>
    <row r="11" spans="1:18" s="5" customFormat="1" ht="12.95" customHeight="1" x14ac:dyDescent="0.2">
      <c r="A11" s="7" t="s">
        <v>14</v>
      </c>
      <c r="B11" s="7"/>
      <c r="C11" s="19">
        <f ca="1">INTERCEPT(INDIRECT($D$9):G992,INDIRECT($C$9):F992)</f>
        <v>-1.5882025192603491E-3</v>
      </c>
      <c r="D11" s="20"/>
      <c r="E11" s="7"/>
      <c r="R11" s="7"/>
    </row>
    <row r="12" spans="1:18" s="5" customFormat="1" ht="12.95" customHeight="1" x14ac:dyDescent="0.2">
      <c r="A12" s="7" t="s">
        <v>15</v>
      </c>
      <c r="B12" s="7"/>
      <c r="C12" s="19">
        <f ca="1">SLOPE(INDIRECT($D$9):G992,INDIRECT($C$9):F992)</f>
        <v>6.7355496474094144E-7</v>
      </c>
      <c r="D12" s="20"/>
      <c r="E12" s="7"/>
      <c r="R12" s="7"/>
    </row>
    <row r="13" spans="1:18" s="5" customFormat="1" ht="12.95" customHeight="1" x14ac:dyDescent="0.2">
      <c r="A13" s="7" t="s">
        <v>16</v>
      </c>
      <c r="B13" s="7"/>
      <c r="C13" s="20" t="s">
        <v>17</v>
      </c>
      <c r="R13" s="7"/>
    </row>
    <row r="14" spans="1:18" s="5" customFormat="1" ht="12.95" customHeight="1" x14ac:dyDescent="0.2">
      <c r="A14" s="7"/>
      <c r="B14" s="7"/>
      <c r="C14" s="7"/>
      <c r="R14" s="7"/>
    </row>
    <row r="15" spans="1:18" s="5" customFormat="1" ht="12.95" customHeight="1" x14ac:dyDescent="0.2">
      <c r="A15" s="21" t="s">
        <v>18</v>
      </c>
      <c r="B15" s="7"/>
      <c r="C15" s="22">
        <f ca="1">(C7+C11)+(C8+C12)*INT(MAX(F21:F3533))</f>
        <v>58034.141990353462</v>
      </c>
      <c r="E15" s="23" t="s">
        <v>19</v>
      </c>
      <c r="F15" s="12">
        <v>1</v>
      </c>
      <c r="R15" s="7"/>
    </row>
    <row r="16" spans="1:18" s="5" customFormat="1" ht="12.95" customHeight="1" x14ac:dyDescent="0.2">
      <c r="A16" s="21" t="s">
        <v>20</v>
      </c>
      <c r="B16" s="7"/>
      <c r="C16" s="22">
        <f ca="1">+C8+C12</f>
        <v>0.43431067355496472</v>
      </c>
      <c r="E16" s="23" t="s">
        <v>21</v>
      </c>
      <c r="F16" s="19">
        <f ca="1">NOW()+15018.5+$C$5/24</f>
        <v>60373.733869444441</v>
      </c>
      <c r="R16" s="7"/>
    </row>
    <row r="17" spans="1:21" s="5" customFormat="1" ht="12.95" customHeight="1" x14ac:dyDescent="0.2">
      <c r="A17" s="23" t="s">
        <v>22</v>
      </c>
      <c r="B17" s="7"/>
      <c r="C17" s="7">
        <f>COUNT(C21:C2191)</f>
        <v>3</v>
      </c>
      <c r="E17" s="23" t="s">
        <v>23</v>
      </c>
      <c r="F17" s="19">
        <f ca="1">ROUND(2*(F16-$C$7)/$C$8,0)/2+F15</f>
        <v>20470</v>
      </c>
      <c r="R17" s="7"/>
    </row>
    <row r="18" spans="1:21" s="5" customFormat="1" ht="12.95" customHeight="1" x14ac:dyDescent="0.2">
      <c r="A18" s="21" t="s">
        <v>24</v>
      </c>
      <c r="B18" s="7"/>
      <c r="C18" s="24">
        <f ca="1">+C15</f>
        <v>58034.141990353462</v>
      </c>
      <c r="D18" s="25">
        <f ca="1">+C16</f>
        <v>0.43431067355496472</v>
      </c>
      <c r="E18" s="23" t="s">
        <v>25</v>
      </c>
      <c r="F18" s="17">
        <f ca="1">ROUND(2*(F16-$C$15)/$C$16,0)/2+F15</f>
        <v>5388</v>
      </c>
      <c r="R18" s="7"/>
    </row>
    <row r="19" spans="1:21" s="5" customFormat="1" ht="12.95" customHeight="1" x14ac:dyDescent="0.2">
      <c r="E19" s="23" t="s">
        <v>26</v>
      </c>
      <c r="F19" s="26">
        <f ca="1">+$C$15+$C$16*F18-15018.5-$C$5/24</f>
        <v>45356.103732800948</v>
      </c>
      <c r="R19" s="7"/>
    </row>
    <row r="20" spans="1:21" s="5" customFormat="1" ht="12.95" customHeight="1" x14ac:dyDescent="0.2">
      <c r="A20" s="27" t="s">
        <v>27</v>
      </c>
      <c r="B20" s="27" t="s">
        <v>28</v>
      </c>
      <c r="C20" s="27" t="s">
        <v>29</v>
      </c>
      <c r="D20" s="27" t="s">
        <v>30</v>
      </c>
      <c r="E20" s="27" t="s">
        <v>31</v>
      </c>
      <c r="F20" s="27" t="s">
        <v>32</v>
      </c>
      <c r="G20" s="27" t="s">
        <v>33</v>
      </c>
      <c r="H20" s="28" t="s">
        <v>34</v>
      </c>
      <c r="I20" s="28" t="s">
        <v>35</v>
      </c>
      <c r="J20" s="28" t="s">
        <v>36</v>
      </c>
      <c r="K20" s="28" t="s">
        <v>37</v>
      </c>
      <c r="L20" s="28" t="s">
        <v>38</v>
      </c>
      <c r="M20" s="28" t="s">
        <v>39</v>
      </c>
      <c r="N20" s="28" t="s">
        <v>40</v>
      </c>
      <c r="O20" s="28" t="s">
        <v>41</v>
      </c>
      <c r="P20" s="28" t="s">
        <v>42</v>
      </c>
      <c r="Q20" s="27" t="s">
        <v>43</v>
      </c>
      <c r="R20" s="7"/>
      <c r="U20" s="29" t="s">
        <v>44</v>
      </c>
    </row>
    <row r="21" spans="1:21" s="5" customFormat="1" ht="12.95" customHeight="1" x14ac:dyDescent="0.2">
      <c r="A21" s="3" t="s">
        <v>9</v>
      </c>
      <c r="C21" s="13">
        <v>51483.87</v>
      </c>
      <c r="D21" s="13" t="s">
        <v>17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I21" s="5">
        <f>+G21</f>
        <v>0</v>
      </c>
      <c r="O21" s="5">
        <f ca="1">+C$11+C$12*$F21</f>
        <v>-1.5882025192603491E-3</v>
      </c>
      <c r="Q21" s="30">
        <f>+C21-15018.5</f>
        <v>36465.370000000003</v>
      </c>
      <c r="R21" s="7"/>
    </row>
    <row r="22" spans="1:21" s="5" customFormat="1" ht="12.95" customHeight="1" x14ac:dyDescent="0.2">
      <c r="A22" s="31" t="s">
        <v>9</v>
      </c>
      <c r="B22" s="32" t="s">
        <v>45</v>
      </c>
      <c r="C22" s="33">
        <v>55059.978999999999</v>
      </c>
      <c r="D22" s="33">
        <v>0.01</v>
      </c>
      <c r="E22" s="5">
        <f>+(C22-C$7)/C$8</f>
        <v>8234.001059151291</v>
      </c>
      <c r="F22" s="5">
        <f>ROUND(2*E22,0)/2</f>
        <v>8234</v>
      </c>
      <c r="G22" s="5">
        <f>+C22-(C$7+F22*C$8)</f>
        <v>4.5999999565538019E-4</v>
      </c>
      <c r="I22" s="5">
        <f>+G22</f>
        <v>4.5999999565538019E-4</v>
      </c>
      <c r="O22" s="5">
        <f ca="1">+C$11+C$12*$F22</f>
        <v>3.9578490604165635E-3</v>
      </c>
      <c r="Q22" s="30">
        <f>+C22-15018.5</f>
        <v>40041.478999999999</v>
      </c>
      <c r="R22" s="7"/>
    </row>
    <row r="23" spans="1:21" s="5" customFormat="1" ht="12.95" customHeight="1" x14ac:dyDescent="0.2">
      <c r="A23" s="34" t="s">
        <v>46</v>
      </c>
      <c r="B23" s="35" t="s">
        <v>47</v>
      </c>
      <c r="C23" s="36">
        <v>58034.143900000003</v>
      </c>
      <c r="D23" s="37" t="s">
        <v>48</v>
      </c>
      <c r="E23" s="5">
        <f>+(C23-C$7)/C$8</f>
        <v>15082.02413022956</v>
      </c>
      <c r="F23" s="5">
        <f>ROUND(2*E23,0)/2</f>
        <v>15082</v>
      </c>
      <c r="G23" s="5">
        <f>+C23-(C$7+F23*C$8)</f>
        <v>1.0480000004463363E-2</v>
      </c>
      <c r="K23" s="5">
        <f>+G23</f>
        <v>1.0480000004463363E-2</v>
      </c>
      <c r="O23" s="5">
        <f ca="1">+C$11+C$12*$F23</f>
        <v>8.5703534589625305E-3</v>
      </c>
      <c r="Q23" s="30">
        <f>+C23-15018.5</f>
        <v>43015.643900000003</v>
      </c>
      <c r="R23" s="7"/>
    </row>
    <row r="24" spans="1:21" s="5" customFormat="1" ht="12.95" customHeight="1" x14ac:dyDescent="0.2">
      <c r="R24" s="7"/>
    </row>
    <row r="25" spans="1:21" s="5" customFormat="1" ht="12.95" customHeight="1" x14ac:dyDescent="0.2">
      <c r="R25" s="7"/>
    </row>
    <row r="26" spans="1:21" s="5" customFormat="1" ht="12.95" customHeight="1" x14ac:dyDescent="0.2">
      <c r="R26" s="7"/>
    </row>
    <row r="27" spans="1:21" s="5" customFormat="1" ht="12.95" customHeight="1" x14ac:dyDescent="0.2">
      <c r="R27" s="7"/>
    </row>
    <row r="28" spans="1:21" s="5" customFormat="1" ht="12.95" customHeight="1" x14ac:dyDescent="0.2">
      <c r="R28" s="7"/>
    </row>
    <row r="29" spans="1:21" s="5" customFormat="1" ht="12.95" customHeight="1" x14ac:dyDescent="0.2">
      <c r="R29" s="7"/>
    </row>
    <row r="30" spans="1:21" s="5" customFormat="1" ht="12.95" customHeight="1" x14ac:dyDescent="0.2">
      <c r="R30" s="7"/>
    </row>
    <row r="31" spans="1:21" s="5" customFormat="1" ht="12.95" customHeight="1" x14ac:dyDescent="0.2">
      <c r="R31" s="7"/>
    </row>
    <row r="32" spans="1:21" s="5" customFormat="1" ht="12.95" customHeight="1" x14ac:dyDescent="0.2">
      <c r="R32" s="7"/>
    </row>
    <row r="33" spans="18:18" s="5" customFormat="1" ht="12.95" customHeight="1" x14ac:dyDescent="0.2">
      <c r="R33" s="7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2024-03-04T04:36:46Z</dcterms:created>
  <dcterms:modified xsi:type="dcterms:W3CDTF">2024-03-04T04:36:46Z</dcterms:modified>
</cp:coreProperties>
</file>