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E9702D8-1156-4422-940D-65064691F98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A21" i="1"/>
  <c r="H20" i="1"/>
  <c r="C21" i="1"/>
  <c r="C17" i="1"/>
  <c r="E22" i="1"/>
  <c r="F22" i="1"/>
  <c r="G22" i="1"/>
  <c r="I22" i="1"/>
  <c r="Q22" i="1"/>
  <c r="E23" i="1"/>
  <c r="F23" i="1"/>
  <c r="G23" i="1"/>
  <c r="I23" i="1"/>
  <c r="Q23" i="1"/>
  <c r="Q21" i="1"/>
  <c r="E21" i="1"/>
  <c r="F21" i="1"/>
  <c r="G21" i="1"/>
  <c r="H21" i="1"/>
  <c r="C11" i="1"/>
  <c r="C12" i="1"/>
  <c r="C16" i="1" l="1"/>
  <c r="D18" i="1" s="1"/>
  <c r="O22" i="1"/>
  <c r="S22" i="1" s="1"/>
  <c r="O21" i="1"/>
  <c r="S21" i="1" s="1"/>
  <c r="C15" i="1"/>
  <c r="E16" i="1" s="1"/>
  <c r="O23" i="1"/>
  <c r="S23" i="1" s="1"/>
  <c r="E15" i="1"/>
  <c r="E17" i="1" l="1"/>
  <c r="C18" i="1"/>
  <c r="S19" i="1"/>
</calcChain>
</file>

<file path=xl/sharedStrings.xml><?xml version="1.0" encoding="utf-8"?>
<sst xmlns="http://schemas.openxmlformats.org/spreadsheetml/2006/main" count="56" uniqueCount="52">
  <si>
    <t>G1179-0501_Psc.xls</t>
  </si>
  <si>
    <t>System Type:</t>
  </si>
  <si>
    <t>ESDEC</t>
  </si>
  <si>
    <t>Constell:</t>
  </si>
  <si>
    <t>Psc</t>
  </si>
  <si>
    <t>G1179-0501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</si>
  <si>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</si>
  <si>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</si>
  <si>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</si>
  <si>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</si>
  <si>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</si>
  <si>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</si>
  <si>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</si>
  <si>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</si>
  <si>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</si>
  <si>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</si>
  <si>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</si>
  <si>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</si>
  <si>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</si>
  <si>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</si>
  <si>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</si>
  <si>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</si>
  <si>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</si>
  <si>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</si>
  <si>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</si>
  <si>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</si>
  <si>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</si>
  <si>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</si>
  <si>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</si>
  <si>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</si>
  <si>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</si>
  <si>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</si>
  <si>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</si>
  <si>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</si>
  <si>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</si>
  <si>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</si>
  <si>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</si>
  <si>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</si>
  <si>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</si>
  <si>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</si>
  <si>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</si>
  <si>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</si>
  <si>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</si>
  <si>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</si>
  <si>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</si>
  <si>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</si>
  <si>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</si>
  <si>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</si>
  <si>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</si>
  <si>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IBVS 6042</t>
  </si>
  <si>
    <t>IS Psc / GSC 1179-0501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</si>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</sst>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2" fillId="0" borderId="1" applyNumberFormat="0" applyFill="0" applyProtection="0">
      <alignment vertical="top"/>
    </xf>
  </cellStyleXfs>
  <cellXfs count="37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5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</a:t>
            </a:r>
            <a:r>
              <a:rPr lang="en-AU" baseline="0"/>
              <a:t> Psc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433738102014356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0417417702303"/>
          <c:y val="0.13013076068194174"/>
          <c:w val="0.83032191759162632"/>
          <c:h val="0.653655230033182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Active!$H$21:$H$23</c:f>
              <c:numCache>
                <c:formatCode>General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58-40EB-8089-4D1084B800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Active!$I$21:$I$23</c:f>
              <c:numCache>
                <c:formatCode>General</c:formatCode>
                <c:ptCount val="3"/>
                <c:pt idx="1">
                  <c:v>2.0786000204680022E-2</c:v>
                </c:pt>
                <c:pt idx="2">
                  <c:v>2.426800020475639E-2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58-40EB-8089-4D1084B800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58-40EB-8089-4D1084B800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Active!$K$21:$K$23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58-40EB-8089-4D1084B800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58-40EB-8089-4D1084B800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58-40EB-8089-4D1084B800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58-40EB-8089-4D1084B800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Active!$O$21:$O$23</c:f>
              <c:numCache>
                <c:formatCode>General</c:formatCode>
                <c:ptCount val="3"/>
                <c:pt idx="0">
                  <c:v>1.2081898089997115E-2</c:v>
                </c:pt>
                <c:pt idx="1">
                  <c:v>2.0786000204680022E-2</c:v>
                </c:pt>
                <c:pt idx="2">
                  <c:v>2.426800020475639E-2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58-40EB-8089-4D1084B800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4847</c:v>
                </c:pt>
                <c:pt idx="2">
                  <c:v>6786</c:v>
                </c:pt>
              </c:numCache>
            </c:numRef>
          </c:xVal>
          <c:yVal>
            <c:numRef>
              <c:f>Active!$R$21:$R$23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58-40EB-8089-4D1084B8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423352"/>
        <c:axId val="1"/>
      </c:scatterChart>
      <c:valAx>
        <c:axId val="838423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846535749296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606425702811246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423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72304967903108"/>
          <c:y val="0.91591875339906836"/>
          <c:w val="0.81325364449925686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9525</xdr:rowOff>
    </xdr:from>
    <xdr:to>
      <xdr:col>16</xdr:col>
      <xdr:colOff>266700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792C16-928B-3750-5C48-CE5212094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50</v>
      </c>
      <c r="E1" s="1" t="s">
        <v>0</v>
      </c>
    </row>
    <row r="2" spans="1:7" s="6" customFormat="1" ht="12.95" customHeight="1" x14ac:dyDescent="0.2">
      <c r="A2" s="6" t="s">
        <v>1</v>
      </c>
      <c r="B2" s="6" t="s">
        <v>2</v>
      </c>
      <c r="C2" s="7" t="s">
        <v>3</v>
      </c>
      <c r="D2" s="8" t="s">
        <v>4</v>
      </c>
      <c r="E2" s="3" t="s">
        <v>5</v>
      </c>
      <c r="F2" s="6" t="e">
        <v>#N/A</v>
      </c>
    </row>
    <row r="3" spans="1:7" s="6" customFormat="1" ht="12.95" customHeight="1" x14ac:dyDescent="0.2">
      <c r="F3" s="9"/>
    </row>
    <row r="4" spans="1:7" s="6" customFormat="1" ht="12.95" customHeight="1" x14ac:dyDescent="0.2">
      <c r="A4" s="10" t="s">
        <v>6</v>
      </c>
      <c r="C4" s="11" t="s">
        <v>7</v>
      </c>
      <c r="D4" s="12" t="s">
        <v>7</v>
      </c>
      <c r="F4" s="9"/>
    </row>
    <row r="5" spans="1:7" s="6" customFormat="1" ht="12.95" customHeight="1" x14ac:dyDescent="0.2">
      <c r="F5" s="9"/>
    </row>
    <row r="6" spans="1:7" s="6" customFormat="1" ht="12.95" customHeight="1" x14ac:dyDescent="0.2">
      <c r="A6" s="10" t="s">
        <v>8</v>
      </c>
      <c r="F6" s="9"/>
    </row>
    <row r="7" spans="1:7" s="6" customFormat="1" ht="12.95" customHeight="1" x14ac:dyDescent="0.2">
      <c r="A7" s="6" t="s">
        <v>9</v>
      </c>
      <c r="C7" s="36">
        <v>53699.583999999799</v>
      </c>
      <c r="D7" s="14" t="s">
        <v>10</v>
      </c>
      <c r="F7" s="9"/>
    </row>
    <row r="8" spans="1:7" s="6" customFormat="1" ht="12.95" customHeight="1" x14ac:dyDescent="0.2">
      <c r="A8" s="6" t="s">
        <v>11</v>
      </c>
      <c r="C8" s="36">
        <v>0.37696200000000002</v>
      </c>
      <c r="D8" s="14" t="s">
        <v>10</v>
      </c>
      <c r="F8" s="9"/>
    </row>
    <row r="9" spans="1:7" s="6" customFormat="1" ht="12.95" customHeight="1" x14ac:dyDescent="0.2">
      <c r="A9" s="15" t="s">
        <v>12</v>
      </c>
      <c r="B9" s="9"/>
      <c r="C9" s="16">
        <v>-9.5</v>
      </c>
      <c r="D9" s="9" t="s">
        <v>13</v>
      </c>
      <c r="E9" s="9"/>
      <c r="F9" s="9"/>
    </row>
    <row r="10" spans="1:7" s="6" customFormat="1" ht="12.95" customHeight="1" x14ac:dyDescent="0.2">
      <c r="A10" s="9"/>
      <c r="B10" s="9"/>
      <c r="C10" s="17" t="s">
        <v>14</v>
      </c>
      <c r="D10" s="17" t="s">
        <v>15</v>
      </c>
      <c r="E10" s="9"/>
      <c r="F10" s="9"/>
    </row>
    <row r="11" spans="1:7" s="6" customFormat="1" ht="12.95" customHeight="1" x14ac:dyDescent="0.2">
      <c r="A11" s="9" t="s">
        <v>16</v>
      </c>
      <c r="B11" s="9"/>
      <c r="C11" s="18">
        <f ca="1">INTERCEPT(INDIRECT($G$11):G992,INDIRECT($F$11):F992)</f>
        <v>1.2081898089997115E-2</v>
      </c>
      <c r="D11" s="19"/>
      <c r="E11" s="9"/>
      <c r="F11" s="20" t="str">
        <f>"F"&amp;E19</f>
        <v>F22</v>
      </c>
      <c r="G11" s="21" t="str">
        <f>"G"&amp;E19</f>
        <v>G22</v>
      </c>
    </row>
    <row r="12" spans="1:7" s="6" customFormat="1" ht="12.95" customHeight="1" x14ac:dyDescent="0.2">
      <c r="A12" s="9" t="s">
        <v>17</v>
      </c>
      <c r="B12" s="9"/>
      <c r="C12" s="18">
        <f ca="1">SLOPE(INDIRECT($G$11):G992,INDIRECT($F$11):F992)</f>
        <v>1.795771016027008E-6</v>
      </c>
      <c r="D12" s="19"/>
      <c r="E12" s="9"/>
      <c r="F12" s="9"/>
    </row>
    <row r="13" spans="1:7" s="6" customFormat="1" ht="12.95" customHeight="1" x14ac:dyDescent="0.2">
      <c r="A13" s="9" t="s">
        <v>18</v>
      </c>
      <c r="B13" s="9"/>
      <c r="C13" s="19" t="s">
        <v>19</v>
      </c>
      <c r="D13" s="22" t="s">
        <v>20</v>
      </c>
      <c r="E13" s="16">
        <v>1</v>
      </c>
      <c r="F13" s="9"/>
    </row>
    <row r="14" spans="1:7" s="6" customFormat="1" ht="12.95" customHeight="1" x14ac:dyDescent="0.2">
      <c r="A14" s="9"/>
      <c r="B14" s="9"/>
      <c r="C14" s="9"/>
      <c r="D14" s="22" t="s">
        <v>21</v>
      </c>
      <c r="E14" s="18">
        <f ca="1">NOW()+15018.5+$C$9/24</f>
        <v>60373.740714236112</v>
      </c>
      <c r="F14" s="9"/>
    </row>
    <row r="15" spans="1:7" s="6" customFormat="1" ht="12.95" customHeight="1" x14ac:dyDescent="0.2">
      <c r="A15" s="23" t="s">
        <v>22</v>
      </c>
      <c r="B15" s="9"/>
      <c r="C15" s="24">
        <f ca="1">(C7+C11)+(C8+C12)*INT(MAX(F21:F3533))</f>
        <v>56257.672400000003</v>
      </c>
      <c r="D15" s="22" t="s">
        <v>23</v>
      </c>
      <c r="E15" s="18">
        <f ca="1">ROUND(2*(E14-$C$7)/$C$8,0)/2+E13</f>
        <v>17706</v>
      </c>
      <c r="F15" s="9"/>
    </row>
    <row r="16" spans="1:7" s="6" customFormat="1" ht="12.95" customHeight="1" x14ac:dyDescent="0.2">
      <c r="A16" s="23" t="s">
        <v>24</v>
      </c>
      <c r="B16" s="9"/>
      <c r="C16" s="24">
        <f ca="1">+C8+C12</f>
        <v>0.37696379577101602</v>
      </c>
      <c r="D16" s="22" t="s">
        <v>25</v>
      </c>
      <c r="E16" s="21">
        <f ca="1">ROUND(2*(E14-$C$15)/$C$16,0)/2+E13</f>
        <v>10920</v>
      </c>
      <c r="F16" s="9"/>
    </row>
    <row r="17" spans="1:19" s="6" customFormat="1" ht="12.95" customHeight="1" x14ac:dyDescent="0.2">
      <c r="A17" s="22" t="s">
        <v>26</v>
      </c>
      <c r="B17" s="9"/>
      <c r="C17" s="9">
        <f>COUNT(C21:C2191)</f>
        <v>3</v>
      </c>
      <c r="D17" s="22" t="s">
        <v>27</v>
      </c>
      <c r="E17" s="25">
        <f ca="1">+$C$15+$C$16*E16-15018.5-$C$9/24</f>
        <v>45356.012883152835</v>
      </c>
      <c r="F17" s="9"/>
    </row>
    <row r="18" spans="1:19" s="6" customFormat="1" ht="12.95" customHeight="1" x14ac:dyDescent="0.2">
      <c r="A18" s="23" t="s">
        <v>28</v>
      </c>
      <c r="B18" s="9"/>
      <c r="C18" s="26">
        <f ca="1">+C15</f>
        <v>56257.672400000003</v>
      </c>
      <c r="D18" s="27">
        <f ca="1">+C16</f>
        <v>0.37696379577101602</v>
      </c>
      <c r="E18" s="28" t="s">
        <v>29</v>
      </c>
      <c r="F18" s="9"/>
    </row>
    <row r="19" spans="1:19" s="6" customFormat="1" ht="12.95" customHeight="1" x14ac:dyDescent="0.2">
      <c r="A19" s="29" t="s">
        <v>30</v>
      </c>
      <c r="E19" s="30">
        <v>22</v>
      </c>
      <c r="F19" s="9"/>
      <c r="S19" s="6">
        <f ca="1">SQRT(SUM(S21:S50)/(COUNT(S21:S50)-1))</f>
        <v>8.5431920690417565E-3</v>
      </c>
    </row>
    <row r="20" spans="1:19" s="6" customFormat="1" ht="12.95" customHeight="1" x14ac:dyDescent="0.2">
      <c r="A20" s="31" t="s">
        <v>31</v>
      </c>
      <c r="B20" s="31" t="s">
        <v>32</v>
      </c>
      <c r="C20" s="31" t="s">
        <v>33</v>
      </c>
      <c r="D20" s="31" t="s">
        <v>34</v>
      </c>
      <c r="E20" s="31" t="s">
        <v>35</v>
      </c>
      <c r="F20" s="31" t="s">
        <v>36</v>
      </c>
      <c r="G20" s="31" t="s">
        <v>37</v>
      </c>
      <c r="H20" s="32" t="str">
        <f>A21</f>
        <v>VSX</v>
      </c>
      <c r="I20" s="32" t="s">
        <v>51</v>
      </c>
      <c r="J20" s="32" t="s">
        <v>38</v>
      </c>
      <c r="K20" s="32" t="s">
        <v>39</v>
      </c>
      <c r="L20" s="32" t="s">
        <v>40</v>
      </c>
      <c r="M20" s="32" t="s">
        <v>41</v>
      </c>
      <c r="N20" s="32" t="s">
        <v>42</v>
      </c>
      <c r="O20" s="32" t="s">
        <v>43</v>
      </c>
      <c r="P20" s="32" t="s">
        <v>44</v>
      </c>
      <c r="Q20" s="31" t="s">
        <v>45</v>
      </c>
      <c r="R20" s="33" t="s">
        <v>46</v>
      </c>
    </row>
    <row r="21" spans="1:19" s="6" customFormat="1" ht="12.95" customHeight="1" x14ac:dyDescent="0.2">
      <c r="A21" s="6" t="str">
        <f>D7</f>
        <v>VSX</v>
      </c>
      <c r="C21" s="13">
        <f>C$7</f>
        <v>53699.583999999799</v>
      </c>
      <c r="D21" s="13" t="s">
        <v>19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1.2081898089997115E-2</v>
      </c>
      <c r="Q21" s="34">
        <f>+C21-15018.5</f>
        <v>38681.083999999799</v>
      </c>
      <c r="S21" s="6">
        <f ca="1">+(O21-G21)^2</f>
        <v>1.4597226145707592E-4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55526.739600000001</v>
      </c>
      <c r="D22" s="4">
        <v>5.9999999999999995E-4</v>
      </c>
      <c r="E22" s="6">
        <f>+(C22-C$7)/C$8</f>
        <v>4847.055140837012</v>
      </c>
      <c r="F22" s="6">
        <f>ROUND(2*E22,0)/2</f>
        <v>4847</v>
      </c>
      <c r="G22" s="6">
        <f>+C22-(C$7+F22*C$8)</f>
        <v>2.0786000204680022E-2</v>
      </c>
      <c r="I22" s="6">
        <f>+G22</f>
        <v>2.0786000204680022E-2</v>
      </c>
      <c r="O22" s="6">
        <f ca="1">+C$11+C$12*$F22</f>
        <v>2.0786000204680022E-2</v>
      </c>
      <c r="Q22" s="34">
        <f>+C22-15018.5</f>
        <v>40508.239600000001</v>
      </c>
      <c r="S22" s="6">
        <f ca="1">+(O22-G22)^2</f>
        <v>0</v>
      </c>
    </row>
    <row r="23" spans="1:19" s="6" customFormat="1" ht="12.95" customHeight="1" x14ac:dyDescent="0.2">
      <c r="A23" s="35" t="s">
        <v>49</v>
      </c>
      <c r="B23" s="5" t="s">
        <v>48</v>
      </c>
      <c r="C23" s="4">
        <v>56257.672400000003</v>
      </c>
      <c r="D23" s="4">
        <v>5.0000000000000001E-4</v>
      </c>
      <c r="E23" s="6">
        <f>+(C23-C$7)/C$8</f>
        <v>6786.06437784234</v>
      </c>
      <c r="F23" s="6">
        <f>ROUND(2*E23,0)/2</f>
        <v>6786</v>
      </c>
      <c r="G23" s="6">
        <f>+C23-(C$7+F23*C$8)</f>
        <v>2.426800020475639E-2</v>
      </c>
      <c r="I23" s="6">
        <f>+G23</f>
        <v>2.426800020475639E-2</v>
      </c>
      <c r="O23" s="6">
        <f ca="1">+C$11+C$12*$F23</f>
        <v>2.426800020475639E-2</v>
      </c>
      <c r="Q23" s="34">
        <f>+C23-15018.5</f>
        <v>41239.172400000003</v>
      </c>
      <c r="S23" s="6">
        <f ca="1">+(O23-G23)^2</f>
        <v>0</v>
      </c>
    </row>
    <row r="24" spans="1:19" s="6" customFormat="1" ht="12.95" customHeight="1" x14ac:dyDescent="0.2">
      <c r="F24" s="9"/>
    </row>
    <row r="25" spans="1:19" s="6" customFormat="1" ht="12.95" customHeight="1" x14ac:dyDescent="0.2">
      <c r="F25" s="9"/>
    </row>
    <row r="26" spans="1:19" s="6" customFormat="1" ht="12.95" customHeight="1" x14ac:dyDescent="0.2">
      <c r="F26" s="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2024-03-04T04:46:37Z</dcterms:created>
  <dcterms:modified xsi:type="dcterms:W3CDTF">2024-03-04T04:46:37Z</dcterms:modified>
</cp:coreProperties>
</file>