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12B29C-1128-491D-9AAC-9FB06BE389B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F11" i="1"/>
  <c r="G11" i="1"/>
  <c r="E14" i="1"/>
  <c r="E15" i="1" s="1"/>
  <c r="C17" i="1"/>
  <c r="A21" i="1"/>
  <c r="H20" i="1" s="1"/>
  <c r="C21" i="1"/>
  <c r="E21" i="1" s="1"/>
  <c r="F21" i="1" s="1"/>
  <c r="G21" i="1" s="1"/>
  <c r="H21" i="1" s="1"/>
  <c r="Q21" i="1"/>
  <c r="F11" i="2"/>
  <c r="G11" i="2"/>
  <c r="E14" i="2"/>
  <c r="E15" i="2" s="1"/>
  <c r="A21" i="2"/>
  <c r="H20" i="2"/>
  <c r="C21" i="2"/>
  <c r="C17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Q21" i="2"/>
  <c r="E21" i="2"/>
  <c r="F21" i="2"/>
  <c r="G21" i="2"/>
  <c r="H21" i="2"/>
  <c r="C11" i="1"/>
  <c r="C12" i="2"/>
  <c r="C12" i="1"/>
  <c r="C11" i="2"/>
  <c r="O26" i="1" l="1"/>
  <c r="S26" i="1" s="1"/>
  <c r="O24" i="1"/>
  <c r="S24" i="1" s="1"/>
  <c r="O23" i="1"/>
  <c r="S23" i="1" s="1"/>
  <c r="O22" i="1"/>
  <c r="S22" i="1" s="1"/>
  <c r="O25" i="1"/>
  <c r="S25" i="1" s="1"/>
  <c r="O25" i="2"/>
  <c r="S25" i="2" s="1"/>
  <c r="O24" i="2"/>
  <c r="S24" i="2" s="1"/>
  <c r="O26" i="2"/>
  <c r="S26" i="2" s="1"/>
  <c r="O22" i="2"/>
  <c r="S22" i="2" s="1"/>
  <c r="O23" i="2"/>
  <c r="S23" i="2" s="1"/>
  <c r="C15" i="2"/>
  <c r="O21" i="2"/>
  <c r="S21" i="2" s="1"/>
  <c r="C16" i="1"/>
  <c r="D18" i="1" s="1"/>
  <c r="C16" i="2"/>
  <c r="D18" i="2" s="1"/>
  <c r="C15" i="1"/>
  <c r="O21" i="1"/>
  <c r="S21" i="1" s="1"/>
  <c r="S19" i="2" l="1"/>
  <c r="S19" i="1"/>
  <c r="C18" i="2"/>
  <c r="E16" i="1"/>
  <c r="E17" i="1" s="1"/>
  <c r="C18" i="1"/>
  <c r="E16" i="2"/>
  <c r="E17" i="2" s="1"/>
</calcChain>
</file>

<file path=xl/sharedStrings.xml><?xml version="1.0" encoding="utf-8"?>
<sst xmlns="http://schemas.openxmlformats.org/spreadsheetml/2006/main" count="126" uniqueCount="55">
  <si>
    <t>G0611-0249_Psc.xls</t>
  </si>
  <si>
    <t>System Type:</t>
  </si>
  <si>
    <t>EC</t>
  </si>
  <si>
    <t>Constell:</t>
  </si>
  <si>
    <t>Psc</t>
  </si>
  <si>
    <t>G0611-0249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</si>
  <si>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</si>
  <si>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</si>
  <si>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</si>
  <si>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</si>
  <si>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</si>
  <si>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</si>
  <si>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</si>
  <si>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</si>
  <si>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</si>
  <si>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</si>
  <si>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</si>
  <si>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</si>
  <si>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</si>
  <si>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</si>
  <si>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</si>
  <si>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</si>
  <si>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</si>
  <si>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</si>
  <si>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</si>
  <si>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</si>
  <si>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</si>
  <si>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</si>
  <si>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</si>
  <si>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</si>
  <si>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</si>
  <si>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</si>
  <si>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</si>
  <si>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</si>
  <si>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</si>
  <si>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</si>
  <si>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</si>
  <si>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</si>
  <si>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</si>
  <si>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</si>
  <si>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</si>
  <si>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</si>
  <si>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</si>
  <si>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</si>
  <si>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</si>
  <si>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</si>
  <si>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</si>
  <si>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</si>
  <si>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</si>
  <si>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</si>
  <si>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6011</t>
  </si>
  <si>
    <t>II</t>
  </si>
  <si>
    <t>KM  Psc / GSC 0611-0249</t>
  </si>
  <si>
    <t>CCD</t>
  </si>
  <si>
    <t>KM Psc / GSC 0611-0249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</si>
</sst>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mm/dd/yy\ hh:mm\ AM/PM"/>
  </numFmts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2" fillId="0" borderId="1" applyNumberFormat="0" applyFill="0" applyProtection="0">
      <alignment vertical="top"/>
    </xf>
  </cellStyleXfs>
  <cellXfs count="38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5" fillId="2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167" fontId="9" fillId="0" borderId="0" xfId="0" applyNumberFormat="1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Psc - O-C Diagr.</a:t>
            </a:r>
          </a:p>
        </c:rich>
      </c:tx>
      <c:layout>
        <c:manualLayout>
          <c:xMode val="edge"/>
          <c:yMode val="edge"/>
          <c:x val="0.340361762008664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6843120513551"/>
          <c:y val="0.1621627927139738"/>
          <c:w val="0.81425766056351379"/>
          <c:h val="0.62162319800115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1'!$H$21:$H$228</c:f>
              <c:numCache>
                <c:formatCode>General</c:formatCode>
                <c:ptCount val="20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F-43B0-A692-8E4E82206E1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1'!$I$21:$I$228</c:f>
              <c:numCache>
                <c:formatCode>General</c:formatCode>
                <c:ptCount val="208"/>
                <c:pt idx="1">
                  <c:v>2.7611000114120543E-2</c:v>
                </c:pt>
                <c:pt idx="2">
                  <c:v>1.4840000112599228E-2</c:v>
                </c:pt>
                <c:pt idx="3">
                  <c:v>8.5140001101535745E-3</c:v>
                </c:pt>
                <c:pt idx="4">
                  <c:v>1.2933000114571769E-2</c:v>
                </c:pt>
                <c:pt idx="5">
                  <c:v>-3.786399988894118E-2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F-43B0-A692-8E4E82206E1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1'!$J$21:$J$228</c:f>
              <c:numCache>
                <c:formatCode>General</c:formatCode>
                <c:ptCount val="2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0F-43B0-A692-8E4E82206E1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1'!$K$21:$K$228</c:f>
              <c:numCache>
                <c:formatCode>General</c:formatCode>
                <c:ptCount val="2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0F-43B0-A692-8E4E82206E1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1'!$L$21:$L$228</c:f>
              <c:numCache>
                <c:formatCode>General</c:formatCode>
                <c:ptCount val="2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0F-43B0-A692-8E4E82206E1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1'!$M$21:$M$228</c:f>
              <c:numCache>
                <c:formatCode>General</c:formatCode>
                <c:ptCount val="2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0F-43B0-A692-8E4E82206E1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1'!$N$21:$N$228</c:f>
              <c:numCache>
                <c:formatCode>General</c:formatCode>
                <c:ptCount val="2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0F-43B0-A692-8E4E82206E1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1'!$O$21:$O$228</c:f>
              <c:numCache>
                <c:formatCode>General</c:formatCode>
                <c:ptCount val="208"/>
                <c:pt idx="0">
                  <c:v>6.2408605860185999E-3</c:v>
                </c:pt>
                <c:pt idx="1">
                  <c:v>4.1220662944909487E-3</c:v>
                </c:pt>
                <c:pt idx="2">
                  <c:v>4.1218905921697338E-3</c:v>
                </c:pt>
                <c:pt idx="3">
                  <c:v>4.1208363782424453E-3</c:v>
                </c:pt>
                <c:pt idx="4">
                  <c:v>3.7147883139153539E-3</c:v>
                </c:pt>
                <c:pt idx="5">
                  <c:v>3.7135583976668513E-3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0F-43B0-A692-8E4E82206E1B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1'!$F$21:$F$228</c:f>
              <c:numCache>
                <c:formatCode>General</c:formatCode>
                <c:ptCount val="208"/>
                <c:pt idx="0">
                  <c:v>0</c:v>
                </c:pt>
                <c:pt idx="1">
                  <c:v>6029.5</c:v>
                </c:pt>
                <c:pt idx="2">
                  <c:v>6030</c:v>
                </c:pt>
                <c:pt idx="3">
                  <c:v>6033</c:v>
                </c:pt>
                <c:pt idx="4">
                  <c:v>7188.5</c:v>
                </c:pt>
                <c:pt idx="5">
                  <c:v>7192</c:v>
                </c:pt>
              </c:numCache>
            </c:numRef>
          </c:xVal>
          <c:yVal>
            <c:numRef>
              <c:f>'Active 1'!$R$21:$R$228</c:f>
              <c:numCache>
                <c:formatCode>General</c:formatCode>
                <c:ptCount val="2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0F-43B0-A692-8E4E8220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86536"/>
        <c:axId val="1"/>
      </c:scatterChart>
      <c:valAx>
        <c:axId val="676786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786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Psc - O-C Diagr.</a:t>
            </a:r>
          </a:p>
        </c:rich>
      </c:tx>
      <c:layout>
        <c:manualLayout>
          <c:xMode val="edge"/>
          <c:yMode val="edge"/>
          <c:x val="0.340361762008664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8444477454111"/>
          <c:y val="0.15815878870996977"/>
          <c:w val="0.81024155967735179"/>
          <c:h val="0.625627202005154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2'!$H$21:$H$260</c:f>
              <c:numCache>
                <c:formatCode>General</c:formatCode>
                <c:ptCount val="24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C-4A99-91B0-2F434C867CA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2'!$I$21:$I$260</c:f>
              <c:numCache>
                <c:formatCode>General</c:formatCode>
                <c:ptCount val="240"/>
                <c:pt idx="1">
                  <c:v>1.5200000118056778E-2</c:v>
                </c:pt>
                <c:pt idx="2">
                  <c:v>2.6590000110445544E-2</c:v>
                </c:pt>
                <c:pt idx="3">
                  <c:v>3.1020000111311674E-2</c:v>
                </c:pt>
                <c:pt idx="4">
                  <c:v>4.0150000117137097E-2</c:v>
                </c:pt>
                <c:pt idx="5">
                  <c:v>2.4270000110846013E-2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C-4A99-91B0-2F434C867CA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2'!$J$21:$J$260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C-4A99-91B0-2F434C867CA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2'!$K$21:$K$260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C-4A99-91B0-2F434C867CA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2'!$L$21:$L$260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5C-4A99-91B0-2F434C867C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2'!$M$21:$M$260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5C-4A99-91B0-2F434C867C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2'!$N$21:$N$260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C-4A99-91B0-2F434C867C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2'!$O$21:$O$260</c:f>
              <c:numCache>
                <c:formatCode>General</c:formatCode>
                <c:ptCount val="240"/>
                <c:pt idx="0">
                  <c:v>-6.2231749298572586E-4</c:v>
                </c:pt>
                <c:pt idx="1">
                  <c:v>2.5551937444327506E-2</c:v>
                </c:pt>
                <c:pt idx="2">
                  <c:v>2.5553776815721553E-2</c:v>
                </c:pt>
                <c:pt idx="3">
                  <c:v>2.5566652415479896E-2</c:v>
                </c:pt>
                <c:pt idx="4">
                  <c:v>3.0582618207050744E-2</c:v>
                </c:pt>
                <c:pt idx="5">
                  <c:v>3.0597333178203134E-2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C-4A99-91B0-2F434C867CAD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2'!$F$21:$F$260</c:f>
              <c:numCache>
                <c:formatCode>General</c:formatCode>
                <c:ptCount val="240"/>
                <c:pt idx="0">
                  <c:v>0</c:v>
                </c:pt>
                <c:pt idx="1">
                  <c:v>7115</c:v>
                </c:pt>
                <c:pt idx="2">
                  <c:v>7115.5</c:v>
                </c:pt>
                <c:pt idx="3">
                  <c:v>7119</c:v>
                </c:pt>
                <c:pt idx="4">
                  <c:v>8482.5</c:v>
                </c:pt>
                <c:pt idx="5">
                  <c:v>8486.5</c:v>
                </c:pt>
              </c:numCache>
            </c:numRef>
          </c:xVal>
          <c:yVal>
            <c:numRef>
              <c:f>'Active 2'!$R$21:$R$260</c:f>
              <c:numCache>
                <c:formatCode>General</c:formatCode>
                <c:ptCount val="2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5C-4A99-91B0-2F434C86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48328"/>
        <c:axId val="1"/>
      </c:scatterChart>
      <c:valAx>
        <c:axId val="55714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148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19051</xdr:rowOff>
    </xdr:from>
    <xdr:to>
      <xdr:col>17</xdr:col>
      <xdr:colOff>0</xdr:colOff>
      <xdr:row>18</xdr:row>
      <xdr:rowOff>114301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8DF55C-87C9-C622-A8BB-99D47F084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BDF1410C-A568-8F61-C651-EC2B239DE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9" sqref="E39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52</v>
      </c>
      <c r="E1" s="1" t="s">
        <v>0</v>
      </c>
    </row>
    <row r="2" spans="1:7" s="6" customFormat="1" ht="12.95" customHeight="1" x14ac:dyDescent="0.2">
      <c r="A2" s="6" t="s">
        <v>1</v>
      </c>
      <c r="B2" s="6" t="s">
        <v>2</v>
      </c>
      <c r="C2" s="7" t="s">
        <v>3</v>
      </c>
      <c r="D2" s="8" t="s">
        <v>4</v>
      </c>
      <c r="E2" s="3" t="s">
        <v>5</v>
      </c>
      <c r="F2" s="6" t="s">
        <v>5</v>
      </c>
    </row>
    <row r="3" spans="1:7" s="6" customFormat="1" ht="12.95" customHeight="1" x14ac:dyDescent="0.2">
      <c r="F3" s="9"/>
    </row>
    <row r="4" spans="1:7" s="6" customFormat="1" ht="12.95" customHeight="1" x14ac:dyDescent="0.2">
      <c r="A4" s="10" t="s">
        <v>6</v>
      </c>
      <c r="C4" s="11" t="s">
        <v>7</v>
      </c>
      <c r="D4" s="12" t="s">
        <v>7</v>
      </c>
      <c r="F4" s="9"/>
    </row>
    <row r="5" spans="1:7" s="6" customFormat="1" ht="12.95" customHeight="1" x14ac:dyDescent="0.2">
      <c r="F5" s="9"/>
    </row>
    <row r="6" spans="1:7" s="6" customFormat="1" ht="12.95" customHeight="1" x14ac:dyDescent="0.2">
      <c r="A6" s="10" t="s">
        <v>8</v>
      </c>
      <c r="F6" s="9"/>
    </row>
    <row r="7" spans="1:7" s="6" customFormat="1" ht="12.95" customHeight="1" x14ac:dyDescent="0.2">
      <c r="A7" s="6" t="s">
        <v>9</v>
      </c>
      <c r="C7" s="36">
        <v>53617.754999999888</v>
      </c>
      <c r="D7" s="14" t="s">
        <v>10</v>
      </c>
      <c r="F7" s="9"/>
    </row>
    <row r="8" spans="1:7" s="6" customFormat="1" ht="12.95" customHeight="1" x14ac:dyDescent="0.2">
      <c r="A8" s="6" t="s">
        <v>11</v>
      </c>
      <c r="C8" s="36">
        <v>0.31674200000000002</v>
      </c>
      <c r="D8" s="14" t="s">
        <v>10</v>
      </c>
      <c r="F8" s="9"/>
    </row>
    <row r="9" spans="1:7" s="6" customFormat="1" ht="12.95" customHeight="1" x14ac:dyDescent="0.2">
      <c r="A9" s="15" t="s">
        <v>12</v>
      </c>
      <c r="B9" s="9"/>
      <c r="C9" s="16">
        <v>-9.5</v>
      </c>
      <c r="D9" s="9" t="s">
        <v>13</v>
      </c>
      <c r="E9" s="9"/>
      <c r="F9" s="9"/>
    </row>
    <row r="10" spans="1:7" s="6" customFormat="1" ht="12.95" customHeight="1" x14ac:dyDescent="0.2">
      <c r="A10" s="9"/>
      <c r="B10" s="9"/>
      <c r="C10" s="17" t="s">
        <v>14</v>
      </c>
      <c r="D10" s="17" t="s">
        <v>15</v>
      </c>
      <c r="E10" s="9"/>
      <c r="F10" s="9"/>
    </row>
    <row r="11" spans="1:7" s="6" customFormat="1" ht="12.95" customHeight="1" x14ac:dyDescent="0.2">
      <c r="A11" s="9" t="s">
        <v>16</v>
      </c>
      <c r="B11" s="9"/>
      <c r="C11" s="18">
        <f ca="1">INTERCEPT(INDIRECT($G$11):G988,INDIRECT($F$11):F988)</f>
        <v>6.2408605860185999E-3</v>
      </c>
      <c r="D11" s="19"/>
      <c r="E11" s="9"/>
      <c r="F11" s="20" t="str">
        <f>"F"&amp;E19</f>
        <v>F21</v>
      </c>
      <c r="G11" s="21" t="str">
        <f>"G"&amp;E19</f>
        <v>G21</v>
      </c>
    </row>
    <row r="12" spans="1:7" s="6" customFormat="1" ht="12.95" customHeight="1" x14ac:dyDescent="0.2">
      <c r="A12" s="9" t="s">
        <v>17</v>
      </c>
      <c r="B12" s="9"/>
      <c r="C12" s="18">
        <f ca="1">SLOPE(INDIRECT($G$11):G988,INDIRECT($F$11):F988)</f>
        <v>-3.5140464242933102E-7</v>
      </c>
      <c r="D12" s="19"/>
      <c r="E12" s="9"/>
      <c r="F12" s="9"/>
    </row>
    <row r="13" spans="1:7" s="6" customFormat="1" ht="12.95" customHeight="1" x14ac:dyDescent="0.2">
      <c r="A13" s="9" t="s">
        <v>18</v>
      </c>
      <c r="B13" s="9"/>
      <c r="C13" s="19" t="s">
        <v>19</v>
      </c>
      <c r="D13" s="22" t="s">
        <v>20</v>
      </c>
      <c r="E13" s="16">
        <v>1</v>
      </c>
      <c r="F13" s="9"/>
    </row>
    <row r="14" spans="1:7" s="6" customFormat="1" ht="12.95" customHeight="1" x14ac:dyDescent="0.2">
      <c r="A14" s="9"/>
      <c r="B14" s="9"/>
      <c r="C14" s="9"/>
      <c r="D14" s="22" t="s">
        <v>21</v>
      </c>
      <c r="E14" s="18">
        <f ca="1">NOW()+15018.5+$C$9/24</f>
        <v>60373.749853703703</v>
      </c>
      <c r="F14" s="9"/>
    </row>
    <row r="15" spans="1:7" s="6" customFormat="1" ht="12.95" customHeight="1" x14ac:dyDescent="0.2">
      <c r="A15" s="23" t="s">
        <v>22</v>
      </c>
      <c r="B15" s="9"/>
      <c r="C15" s="24">
        <f ca="1">(C7+C11)+(C8+C12)*INT(MAX(F21:F3529))</f>
        <v>55895.767177558286</v>
      </c>
      <c r="D15" s="22" t="s">
        <v>23</v>
      </c>
      <c r="E15" s="18">
        <f ca="1">ROUND(2*(E14-$C$7)/$C$8,0)/2+E13</f>
        <v>21330.5</v>
      </c>
      <c r="F15" s="9"/>
    </row>
    <row r="16" spans="1:7" s="6" customFormat="1" ht="12.95" customHeight="1" x14ac:dyDescent="0.2">
      <c r="A16" s="23" t="s">
        <v>24</v>
      </c>
      <c r="B16" s="9"/>
      <c r="C16" s="24">
        <f ca="1">+C8+C12</f>
        <v>0.31674164859535758</v>
      </c>
      <c r="D16" s="22" t="s">
        <v>25</v>
      </c>
      <c r="E16" s="21">
        <f ca="1">ROUND(2*(E14-$C$15)/$C$16,0)/2+E13</f>
        <v>14138.5</v>
      </c>
      <c r="F16" s="9"/>
    </row>
    <row r="17" spans="1:19" s="6" customFormat="1" ht="12.95" customHeight="1" x14ac:dyDescent="0.2">
      <c r="A17" s="22" t="s">
        <v>26</v>
      </c>
      <c r="B17" s="9"/>
      <c r="C17" s="9">
        <f>COUNT(C21:C2187)</f>
        <v>6</v>
      </c>
      <c r="D17" s="22" t="s">
        <v>27</v>
      </c>
      <c r="E17" s="25">
        <f ca="1">+$C$15+$C$16*E16-15018.5-$C$9/24</f>
        <v>45355.914809557085</v>
      </c>
      <c r="F17" s="9"/>
    </row>
    <row r="18" spans="1:19" s="6" customFormat="1" ht="12.95" customHeight="1" x14ac:dyDescent="0.2">
      <c r="A18" s="23" t="s">
        <v>28</v>
      </c>
      <c r="B18" s="9"/>
      <c r="C18" s="26">
        <f ca="1">+C15</f>
        <v>55895.767177558286</v>
      </c>
      <c r="D18" s="27">
        <f ca="1">+C16</f>
        <v>0.31674164859535758</v>
      </c>
      <c r="E18" s="28" t="s">
        <v>29</v>
      </c>
      <c r="F18" s="9"/>
    </row>
    <row r="19" spans="1:19" s="6" customFormat="1" ht="12.95" customHeight="1" x14ac:dyDescent="0.2">
      <c r="A19" s="29" t="s">
        <v>30</v>
      </c>
      <c r="E19" s="30">
        <v>21</v>
      </c>
      <c r="F19" s="9"/>
      <c r="S19" s="6">
        <f ca="1">SQRT(SUM(S21:S46)/(COUNT(S21:S46)-1))</f>
        <v>2.2532309664046467E-2</v>
      </c>
    </row>
    <row r="20" spans="1:19" s="6" customFormat="1" ht="12.95" customHeight="1" x14ac:dyDescent="0.2">
      <c r="A20" s="31" t="s">
        <v>31</v>
      </c>
      <c r="B20" s="31" t="s">
        <v>32</v>
      </c>
      <c r="C20" s="31" t="s">
        <v>33</v>
      </c>
      <c r="D20" s="31" t="s">
        <v>34</v>
      </c>
      <c r="E20" s="31" t="s">
        <v>35</v>
      </c>
      <c r="F20" s="31" t="s">
        <v>36</v>
      </c>
      <c r="G20" s="31" t="s">
        <v>37</v>
      </c>
      <c r="H20" s="32" t="str">
        <f>A21</f>
        <v>VSX</v>
      </c>
      <c r="I20" s="32" t="s">
        <v>53</v>
      </c>
      <c r="J20" s="32" t="s">
        <v>39</v>
      </c>
      <c r="K20" s="32" t="s">
        <v>40</v>
      </c>
      <c r="L20" s="32" t="s">
        <v>41</v>
      </c>
      <c r="M20" s="32" t="s">
        <v>42</v>
      </c>
      <c r="N20" s="32" t="s">
        <v>43</v>
      </c>
      <c r="O20" s="32" t="s">
        <v>44</v>
      </c>
      <c r="P20" s="32" t="s">
        <v>45</v>
      </c>
      <c r="Q20" s="31" t="s">
        <v>46</v>
      </c>
      <c r="R20" s="33" t="s">
        <v>47</v>
      </c>
    </row>
    <row r="21" spans="1:19" s="6" customFormat="1" ht="12.95" customHeight="1" x14ac:dyDescent="0.2">
      <c r="A21" s="6" t="str">
        <f>D7</f>
        <v>VSX</v>
      </c>
      <c r="C21" s="34">
        <f>C$7</f>
        <v>53617.754999999888</v>
      </c>
      <c r="D21" s="13" t="s">
        <v>19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6.2408605860185999E-3</v>
      </c>
      <c r="Q21" s="35">
        <f>+C21-15018.5</f>
        <v>38599.254999999888</v>
      </c>
      <c r="S21" s="6">
        <f ca="1">+(O21-G21)^2</f>
        <v>3.8948340854120421E-5</v>
      </c>
    </row>
    <row r="22" spans="1:19" s="6" customFormat="1" ht="12.95" customHeight="1" x14ac:dyDescent="0.2">
      <c r="A22" s="5" t="s">
        <v>48</v>
      </c>
      <c r="B22" s="4" t="s">
        <v>49</v>
      </c>
      <c r="C22" s="5">
        <v>55527.578500000003</v>
      </c>
      <c r="D22" s="5">
        <v>8.0000000000000004E-4</v>
      </c>
      <c r="E22" s="6">
        <f>+(C22-C$7)/C$8</f>
        <v>6029.5871718942071</v>
      </c>
      <c r="F22" s="6">
        <f>ROUND(2*E22,0)/2</f>
        <v>6029.5</v>
      </c>
      <c r="G22" s="6">
        <f>+C22-(C$7+F22*C$8)</f>
        <v>2.7611000114120543E-2</v>
      </c>
      <c r="I22" s="6">
        <f>+G22</f>
        <v>2.7611000114120543E-2</v>
      </c>
      <c r="O22" s="6">
        <f ca="1">+C$11+C$12*$F22</f>
        <v>4.1220662944909487E-3</v>
      </c>
      <c r="Q22" s="35">
        <f>+C22-15018.5</f>
        <v>40509.078500000003</v>
      </c>
      <c r="S22" s="6">
        <f ca="1">+(O22-G22)^2</f>
        <v>5.517300119829389E-4</v>
      </c>
    </row>
    <row r="23" spans="1:19" s="6" customFormat="1" ht="12.95" customHeight="1" x14ac:dyDescent="0.2">
      <c r="A23" s="5" t="s">
        <v>48</v>
      </c>
      <c r="B23" s="4" t="s">
        <v>51</v>
      </c>
      <c r="C23" s="5">
        <v>55527.724099999999</v>
      </c>
      <c r="D23" s="5">
        <v>2.9999999999999997E-4</v>
      </c>
      <c r="E23" s="6">
        <f>+(C23-C$7)/C$8</f>
        <v>6030.0468520123986</v>
      </c>
      <c r="F23" s="6">
        <f>ROUND(2*E23,0)/2</f>
        <v>6030</v>
      </c>
      <c r="G23" s="6">
        <f>+C23-(C$7+F23*C$8)</f>
        <v>1.4840000112599228E-2</v>
      </c>
      <c r="I23" s="6">
        <f>+G23</f>
        <v>1.4840000112599228E-2</v>
      </c>
      <c r="O23" s="6">
        <f ca="1">+C$11+C$12*$F23</f>
        <v>4.1218905921697338E-3</v>
      </c>
      <c r="Q23" s="35">
        <f>+C23-15018.5</f>
        <v>40509.224099999999</v>
      </c>
      <c r="S23" s="6">
        <f ca="1">+(O23-G23)^2</f>
        <v>1.1487787169192137E-4</v>
      </c>
    </row>
    <row r="24" spans="1:19" s="6" customFormat="1" ht="12.95" customHeight="1" x14ac:dyDescent="0.2">
      <c r="A24" s="5" t="s">
        <v>48</v>
      </c>
      <c r="B24" s="4" t="s">
        <v>49</v>
      </c>
      <c r="C24" s="5">
        <v>55528.667999999998</v>
      </c>
      <c r="D24" s="5">
        <v>2.0000000000000001E-4</v>
      </c>
      <c r="E24" s="6">
        <f>+(C24-C$7)/C$8</f>
        <v>6033.0268799215437</v>
      </c>
      <c r="F24" s="6">
        <f>ROUND(2*E24,0)/2</f>
        <v>6033</v>
      </c>
      <c r="G24" s="6">
        <f>+C24-(C$7+F24*C$8)</f>
        <v>8.5140001101535745E-3</v>
      </c>
      <c r="I24" s="6">
        <f>+G24</f>
        <v>8.5140001101535745E-3</v>
      </c>
      <c r="O24" s="6">
        <f ca="1">+C$11+C$12*$F24</f>
        <v>4.1208363782424453E-3</v>
      </c>
      <c r="Q24" s="35">
        <f>+C24-15018.5</f>
        <v>40510.167999999998</v>
      </c>
      <c r="S24" s="6">
        <f ca="1">+(O24-G24)^2</f>
        <v>1.9299887575379319E-5</v>
      </c>
    </row>
    <row r="25" spans="1:19" s="6" customFormat="1" ht="12.95" customHeight="1" x14ac:dyDescent="0.2">
      <c r="A25" s="5" t="s">
        <v>50</v>
      </c>
      <c r="B25" s="4" t="s">
        <v>51</v>
      </c>
      <c r="C25" s="5">
        <v>55894.667800000003</v>
      </c>
      <c r="D25" s="5">
        <v>6.9999999999999999E-4</v>
      </c>
      <c r="E25" s="6">
        <f>+(C25-C$7)/C$8</f>
        <v>7188.5408313394328</v>
      </c>
      <c r="F25" s="6">
        <f>ROUND(2*E25,0)/2</f>
        <v>7188.5</v>
      </c>
      <c r="G25" s="6">
        <f>+C25-(C$7+F25*C$8)</f>
        <v>1.2933000114571769E-2</v>
      </c>
      <c r="I25" s="6">
        <f>+G25</f>
        <v>1.2933000114571769E-2</v>
      </c>
      <c r="O25" s="6">
        <f ca="1">+C$11+C$12*$F25</f>
        <v>3.7147883139153539E-3</v>
      </c>
      <c r="Q25" s="35">
        <f>+C25-15018.5</f>
        <v>40876.167800000003</v>
      </c>
      <c r="S25" s="6">
        <f ca="1">+(O25-G25)^2</f>
        <v>8.497542880176118E-5</v>
      </c>
    </row>
    <row r="26" spans="1:19" s="6" customFormat="1" ht="12.95" customHeight="1" x14ac:dyDescent="0.2">
      <c r="A26" s="5" t="s">
        <v>50</v>
      </c>
      <c r="B26" s="4" t="s">
        <v>51</v>
      </c>
      <c r="C26" s="5">
        <v>55895.725599999998</v>
      </c>
      <c r="D26" s="5">
        <v>4.0000000000000002E-4</v>
      </c>
      <c r="E26" s="6">
        <f>+(C26-C$7)/C$8</f>
        <v>7191.8804579124635</v>
      </c>
      <c r="F26" s="6">
        <f>ROUND(2*E26,0)/2</f>
        <v>7192</v>
      </c>
      <c r="G26" s="6">
        <f>+C26-(C$7+F26*C$8)</f>
        <v>-3.786399988894118E-2</v>
      </c>
      <c r="I26" s="6">
        <f>+G26</f>
        <v>-3.786399988894118E-2</v>
      </c>
      <c r="O26" s="6">
        <f ca="1">+C$11+C$12*$F26</f>
        <v>3.7135583976668513E-3</v>
      </c>
      <c r="Q26" s="35">
        <f>+C26-15018.5</f>
        <v>40877.225599999998</v>
      </c>
      <c r="S26" s="6">
        <f ca="1">+(O26-G26)^2</f>
        <v>1.7286933530762879E-3</v>
      </c>
    </row>
    <row r="27" spans="1:19" s="6" customFormat="1" ht="12.95" customHeight="1" x14ac:dyDescent="0.2">
      <c r="F27" s="9"/>
    </row>
    <row r="28" spans="1:19" s="6" customFormat="1" ht="12.95" customHeight="1" x14ac:dyDescent="0.2">
      <c r="F28" s="9"/>
    </row>
    <row r="29" spans="1:19" s="6" customFormat="1" ht="12.95" customHeight="1" x14ac:dyDescent="0.2">
      <c r="F29" s="9"/>
    </row>
    <row r="30" spans="1:19" s="6" customFormat="1" ht="12.95" customHeight="1" x14ac:dyDescent="0.2">
      <c r="F30" s="9"/>
    </row>
  </sheetData>
  <sheetProtection selectLockedCells="1" selectUnlockedCells="1"/>
  <sortState xmlns:xlrd2="http://schemas.microsoft.com/office/spreadsheetml/2017/richdata2" ref="A21:T28">
    <sortCondition ref="C21:C28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54</v>
      </c>
      <c r="E1" s="1" t="s">
        <v>0</v>
      </c>
    </row>
    <row r="2" spans="1:7" s="6" customFormat="1" ht="12.95" customHeight="1" x14ac:dyDescent="0.2">
      <c r="A2" s="6" t="s">
        <v>1</v>
      </c>
      <c r="B2" s="6" t="s">
        <v>2</v>
      </c>
      <c r="C2" s="7" t="s">
        <v>3</v>
      </c>
      <c r="D2" s="8" t="s">
        <v>4</v>
      </c>
      <c r="E2" s="3" t="s">
        <v>5</v>
      </c>
      <c r="F2" s="6" t="s">
        <v>5</v>
      </c>
    </row>
    <row r="3" spans="1:7" s="6" customFormat="1" ht="12.95" customHeight="1" x14ac:dyDescent="0.2">
      <c r="F3" s="9"/>
    </row>
    <row r="4" spans="1:7" s="6" customFormat="1" ht="12.95" customHeight="1" x14ac:dyDescent="0.2">
      <c r="A4" s="10" t="s">
        <v>6</v>
      </c>
      <c r="C4" s="11" t="s">
        <v>7</v>
      </c>
      <c r="D4" s="12" t="s">
        <v>7</v>
      </c>
      <c r="F4" s="9"/>
    </row>
    <row r="5" spans="1:7" s="6" customFormat="1" ht="12.95" customHeight="1" x14ac:dyDescent="0.2">
      <c r="F5" s="9"/>
    </row>
    <row r="6" spans="1:7" s="6" customFormat="1" ht="12.95" customHeight="1" x14ac:dyDescent="0.2">
      <c r="A6" s="10" t="s">
        <v>8</v>
      </c>
      <c r="F6" s="9"/>
    </row>
    <row r="7" spans="1:7" s="6" customFormat="1" ht="12.95" customHeight="1" x14ac:dyDescent="0.2">
      <c r="A7" s="6" t="s">
        <v>9</v>
      </c>
      <c r="C7" s="36">
        <v>53617.754999999888</v>
      </c>
      <c r="D7" s="14" t="s">
        <v>10</v>
      </c>
      <c r="F7" s="9"/>
    </row>
    <row r="8" spans="1:7" s="6" customFormat="1" ht="12.95" customHeight="1" x14ac:dyDescent="0.2">
      <c r="A8" s="6" t="s">
        <v>11</v>
      </c>
      <c r="C8" s="36">
        <v>0.26841999999999999</v>
      </c>
      <c r="D8" s="14" t="s">
        <v>10</v>
      </c>
      <c r="F8" s="9"/>
    </row>
    <row r="9" spans="1:7" s="6" customFormat="1" ht="12.95" customHeight="1" x14ac:dyDescent="0.2">
      <c r="A9" s="15" t="s">
        <v>12</v>
      </c>
      <c r="B9" s="9"/>
      <c r="C9" s="16">
        <v>8</v>
      </c>
      <c r="D9" s="9" t="s">
        <v>13</v>
      </c>
      <c r="E9" s="9"/>
      <c r="F9" s="9"/>
    </row>
    <row r="10" spans="1:7" s="6" customFormat="1" ht="12.95" customHeight="1" x14ac:dyDescent="0.2">
      <c r="A10" s="9"/>
      <c r="B10" s="9"/>
      <c r="C10" s="17" t="s">
        <v>14</v>
      </c>
      <c r="D10" s="17" t="s">
        <v>15</v>
      </c>
      <c r="E10" s="9"/>
      <c r="F10" s="9"/>
    </row>
    <row r="11" spans="1:7" s="6" customFormat="1" ht="12.95" customHeight="1" x14ac:dyDescent="0.2">
      <c r="A11" s="9" t="s">
        <v>16</v>
      </c>
      <c r="B11" s="9"/>
      <c r="C11" s="18">
        <f ca="1">INTERCEPT(INDIRECT($G$11):G992,INDIRECT($F$11):F992)</f>
        <v>-6.2231749298572586E-4</v>
      </c>
      <c r="D11" s="19"/>
      <c r="E11" s="9"/>
      <c r="F11" s="20" t="str">
        <f>"F"&amp;E19</f>
        <v>F21</v>
      </c>
      <c r="G11" s="21" t="str">
        <f>"G"&amp;E19</f>
        <v>G21</v>
      </c>
    </row>
    <row r="12" spans="1:7" s="6" customFormat="1" ht="12.95" customHeight="1" x14ac:dyDescent="0.2">
      <c r="A12" s="9" t="s">
        <v>17</v>
      </c>
      <c r="B12" s="9"/>
      <c r="C12" s="18">
        <f ca="1">SLOPE(INDIRECT($G$11):G992,INDIRECT($F$11):F992)</f>
        <v>3.6787427880974323E-6</v>
      </c>
      <c r="D12" s="19"/>
      <c r="E12" s="9"/>
      <c r="F12" s="9"/>
    </row>
    <row r="13" spans="1:7" s="6" customFormat="1" ht="12.95" customHeight="1" x14ac:dyDescent="0.2">
      <c r="A13" s="9" t="s">
        <v>18</v>
      </c>
      <c r="B13" s="9"/>
      <c r="C13" s="19" t="s">
        <v>19</v>
      </c>
      <c r="D13" s="22" t="s">
        <v>20</v>
      </c>
      <c r="E13" s="16">
        <v>1</v>
      </c>
      <c r="F13" s="9"/>
    </row>
    <row r="14" spans="1:7" s="6" customFormat="1" ht="12.95" customHeight="1" x14ac:dyDescent="0.2">
      <c r="A14" s="9"/>
      <c r="B14" s="9"/>
      <c r="C14" s="9"/>
      <c r="D14" s="22" t="s">
        <v>21</v>
      </c>
      <c r="E14" s="37">
        <f ca="1">NOW()+15018.5+$C$9/24</f>
        <v>60374.479020370374</v>
      </c>
      <c r="F14" s="9"/>
    </row>
    <row r="15" spans="1:7" s="6" customFormat="1" ht="12.95" customHeight="1" x14ac:dyDescent="0.2">
      <c r="A15" s="23" t="s">
        <v>22</v>
      </c>
      <c r="B15" s="9"/>
      <c r="C15" s="24">
        <f ca="1">(C7+C11)+(C8+C12)*INT(MAX(F21:F3533))</f>
        <v>55895.597715493692</v>
      </c>
      <c r="D15" s="22" t="s">
        <v>23</v>
      </c>
      <c r="E15" s="18">
        <f ca="1">ROUND(2*(E14-$C$7)/$C$8,0)/2+E13</f>
        <v>25173</v>
      </c>
      <c r="F15" s="9"/>
    </row>
    <row r="16" spans="1:7" s="6" customFormat="1" ht="12.95" customHeight="1" x14ac:dyDescent="0.2">
      <c r="A16" s="23" t="s">
        <v>24</v>
      </c>
      <c r="B16" s="9"/>
      <c r="C16" s="24">
        <f ca="1">+C8+C12</f>
        <v>0.26842367874278811</v>
      </c>
      <c r="D16" s="22" t="s">
        <v>25</v>
      </c>
      <c r="E16" s="21">
        <f ca="1">ROUND(2*(E14-$C$15)/$C$16,0)/2+E13</f>
        <v>16687</v>
      </c>
      <c r="F16" s="9"/>
    </row>
    <row r="17" spans="1:19" s="6" customFormat="1" ht="12.95" customHeight="1" x14ac:dyDescent="0.2">
      <c r="A17" s="22" t="s">
        <v>26</v>
      </c>
      <c r="B17" s="9"/>
      <c r="C17" s="9">
        <f>COUNT(C21:C2191)</f>
        <v>6</v>
      </c>
      <c r="D17" s="22" t="s">
        <v>27</v>
      </c>
      <c r="E17" s="25">
        <f ca="1">+$C$15+$C$16*E16-15018.5-$C$9/24</f>
        <v>45355.950309341264</v>
      </c>
      <c r="F17" s="9"/>
    </row>
    <row r="18" spans="1:19" s="6" customFormat="1" ht="12.95" customHeight="1" x14ac:dyDescent="0.2">
      <c r="A18" s="23" t="s">
        <v>28</v>
      </c>
      <c r="B18" s="9"/>
      <c r="C18" s="26">
        <f ca="1">+C15</f>
        <v>55895.597715493692</v>
      </c>
      <c r="D18" s="27">
        <f ca="1">+C16</f>
        <v>0.26842367874278811</v>
      </c>
      <c r="E18" s="28" t="s">
        <v>29</v>
      </c>
      <c r="F18" s="9"/>
    </row>
    <row r="19" spans="1:19" s="6" customFormat="1" ht="12.95" customHeight="1" x14ac:dyDescent="0.2">
      <c r="A19" s="29" t="s">
        <v>30</v>
      </c>
      <c r="E19" s="30">
        <v>21</v>
      </c>
      <c r="F19" s="9"/>
      <c r="S19" s="6">
        <f ca="1">SQRT(SUM(S21:S50)/(COUNT(S21:S50)-1))</f>
        <v>7.3475517777827747E-3</v>
      </c>
    </row>
    <row r="20" spans="1:19" s="6" customFormat="1" ht="12.95" customHeight="1" x14ac:dyDescent="0.2">
      <c r="A20" s="31" t="s">
        <v>31</v>
      </c>
      <c r="B20" s="31" t="s">
        <v>32</v>
      </c>
      <c r="C20" s="31" t="s">
        <v>33</v>
      </c>
      <c r="D20" s="31" t="s">
        <v>34</v>
      </c>
      <c r="E20" s="31" t="s">
        <v>35</v>
      </c>
      <c r="F20" s="31" t="s">
        <v>36</v>
      </c>
      <c r="G20" s="31" t="s">
        <v>37</v>
      </c>
      <c r="H20" s="32" t="str">
        <f>A21</f>
        <v>VSX</v>
      </c>
      <c r="I20" s="32" t="s">
        <v>38</v>
      </c>
      <c r="J20" s="32" t="s">
        <v>39</v>
      </c>
      <c r="K20" s="32" t="s">
        <v>40</v>
      </c>
      <c r="L20" s="32" t="s">
        <v>41</v>
      </c>
      <c r="M20" s="32" t="s">
        <v>42</v>
      </c>
      <c r="N20" s="32" t="s">
        <v>43</v>
      </c>
      <c r="O20" s="32" t="s">
        <v>44</v>
      </c>
      <c r="P20" s="32" t="s">
        <v>45</v>
      </c>
      <c r="Q20" s="31" t="s">
        <v>46</v>
      </c>
      <c r="R20" s="33" t="s">
        <v>47</v>
      </c>
    </row>
    <row r="21" spans="1:19" s="6" customFormat="1" ht="12.95" customHeight="1" x14ac:dyDescent="0.2">
      <c r="A21" s="6" t="str">
        <f>D7</f>
        <v>VSX</v>
      </c>
      <c r="C21" s="13">
        <f>C$7</f>
        <v>53617.754999999888</v>
      </c>
      <c r="D21" s="13" t="s">
        <v>19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-6.2231749298572586E-4</v>
      </c>
      <c r="Q21" s="35">
        <f t="shared" ref="Q21:Q26" si="4">+C21-15018.5</f>
        <v>38599.254999999888</v>
      </c>
      <c r="S21" s="6">
        <f t="shared" ref="S21:S26" ca="1" si="5">+(O21-G21)^2</f>
        <v>3.8727906207603894E-7</v>
      </c>
    </row>
    <row r="22" spans="1:19" s="6" customFormat="1" ht="12.95" customHeight="1" x14ac:dyDescent="0.2">
      <c r="A22" s="5" t="s">
        <v>48</v>
      </c>
      <c r="B22" s="4" t="s">
        <v>49</v>
      </c>
      <c r="C22" s="5">
        <v>55527.578500000003</v>
      </c>
      <c r="D22" s="5">
        <v>8.0000000000000004E-4</v>
      </c>
      <c r="E22" s="6">
        <f t="shared" si="0"/>
        <v>7115.056627673478</v>
      </c>
      <c r="F22" s="6">
        <f t="shared" si="1"/>
        <v>7115</v>
      </c>
      <c r="G22" s="6">
        <f t="shared" si="2"/>
        <v>1.5200000118056778E-2</v>
      </c>
      <c r="I22" s="6">
        <f>+G22</f>
        <v>1.5200000118056778E-2</v>
      </c>
      <c r="O22" s="6">
        <f t="shared" ca="1" si="3"/>
        <v>2.5551937444327506E-2</v>
      </c>
      <c r="Q22" s="35">
        <f t="shared" si="4"/>
        <v>40509.078500000003</v>
      </c>
      <c r="S22" s="6">
        <f t="shared" ca="1" si="5"/>
        <v>1.0716260640703715E-4</v>
      </c>
    </row>
    <row r="23" spans="1:19" s="6" customFormat="1" ht="12.95" customHeight="1" x14ac:dyDescent="0.2">
      <c r="A23" s="5" t="s">
        <v>48</v>
      </c>
      <c r="B23" s="4" t="s">
        <v>51</v>
      </c>
      <c r="C23" s="5">
        <v>55527.724099999999</v>
      </c>
      <c r="D23" s="5">
        <v>2.9999999999999997E-4</v>
      </c>
      <c r="E23" s="6">
        <f t="shared" si="0"/>
        <v>7115.5990611732032</v>
      </c>
      <c r="F23" s="6">
        <f t="shared" si="1"/>
        <v>7115.5</v>
      </c>
      <c r="G23" s="6">
        <f t="shared" si="2"/>
        <v>2.6590000110445544E-2</v>
      </c>
      <c r="I23" s="6">
        <f>+G23</f>
        <v>2.6590000110445544E-2</v>
      </c>
      <c r="O23" s="6">
        <f t="shared" ca="1" si="3"/>
        <v>2.5553776815721553E-2</v>
      </c>
      <c r="Q23" s="35">
        <f t="shared" si="4"/>
        <v>40509.224099999999</v>
      </c>
      <c r="S23" s="6">
        <f t="shared" ca="1" si="5"/>
        <v>1.0737587165286432E-6</v>
      </c>
    </row>
    <row r="24" spans="1:19" s="6" customFormat="1" ht="12.95" customHeight="1" x14ac:dyDescent="0.2">
      <c r="A24" s="5" t="s">
        <v>48</v>
      </c>
      <c r="B24" s="4" t="s">
        <v>49</v>
      </c>
      <c r="C24" s="5">
        <v>55528.667999999998</v>
      </c>
      <c r="D24" s="5">
        <v>2.0000000000000001E-4</v>
      </c>
      <c r="E24" s="6">
        <f t="shared" si="0"/>
        <v>7119.1155651594872</v>
      </c>
      <c r="F24" s="6">
        <f t="shared" si="1"/>
        <v>7119</v>
      </c>
      <c r="G24" s="6">
        <f t="shared" si="2"/>
        <v>3.1020000111311674E-2</v>
      </c>
      <c r="I24" s="6">
        <f>+G24</f>
        <v>3.1020000111311674E-2</v>
      </c>
      <c r="O24" s="6">
        <f t="shared" ca="1" si="3"/>
        <v>2.5566652415479896E-2</v>
      </c>
      <c r="Q24" s="35">
        <f t="shared" si="4"/>
        <v>40510.167999999998</v>
      </c>
      <c r="S24" s="6">
        <f t="shared" ca="1" si="5"/>
        <v>2.9739001091633766E-5</v>
      </c>
    </row>
    <row r="25" spans="1:19" s="6" customFormat="1" ht="12.95" customHeight="1" x14ac:dyDescent="0.2">
      <c r="A25" s="5" t="s">
        <v>50</v>
      </c>
      <c r="B25" s="4" t="s">
        <v>51</v>
      </c>
      <c r="C25" s="5">
        <v>55894.667800000003</v>
      </c>
      <c r="D25" s="5">
        <v>6.9999999999999999E-4</v>
      </c>
      <c r="E25" s="6">
        <f t="shared" si="0"/>
        <v>8482.6495790183835</v>
      </c>
      <c r="F25" s="6">
        <f t="shared" si="1"/>
        <v>8482.5</v>
      </c>
      <c r="G25" s="6">
        <f t="shared" si="2"/>
        <v>4.0150000117137097E-2</v>
      </c>
      <c r="I25" s="6">
        <f>+G25</f>
        <v>4.0150000117137097E-2</v>
      </c>
      <c r="O25" s="6">
        <f t="shared" ca="1" si="3"/>
        <v>3.0582618207050744E-2</v>
      </c>
      <c r="Q25" s="35">
        <f t="shared" si="4"/>
        <v>40876.167800000003</v>
      </c>
      <c r="S25" s="6">
        <f t="shared" ca="1" si="5"/>
        <v>9.1534796613447592E-5</v>
      </c>
    </row>
    <row r="26" spans="1:19" s="6" customFormat="1" ht="12.95" customHeight="1" x14ac:dyDescent="0.2">
      <c r="A26" s="5" t="s">
        <v>50</v>
      </c>
      <c r="B26" s="4" t="s">
        <v>51</v>
      </c>
      <c r="C26" s="5">
        <v>55895.725599999998</v>
      </c>
      <c r="D26" s="5">
        <v>4.0000000000000002E-4</v>
      </c>
      <c r="E26" s="6">
        <f t="shared" si="0"/>
        <v>8486.590418002048</v>
      </c>
      <c r="F26" s="6">
        <f t="shared" si="1"/>
        <v>8486.5</v>
      </c>
      <c r="G26" s="6">
        <f t="shared" si="2"/>
        <v>2.4270000110846013E-2</v>
      </c>
      <c r="I26" s="6">
        <f>+G26</f>
        <v>2.4270000110846013E-2</v>
      </c>
      <c r="O26" s="6">
        <f t="shared" ca="1" si="3"/>
        <v>3.0597333178203134E-2</v>
      </c>
      <c r="Q26" s="35">
        <f t="shared" si="4"/>
        <v>40877.225599999998</v>
      </c>
      <c r="S26" s="6">
        <f t="shared" ca="1" si="5"/>
        <v>4.0035143745270873E-5</v>
      </c>
    </row>
    <row r="27" spans="1:19" s="6" customFormat="1" ht="12.95" customHeight="1" x14ac:dyDescent="0.2">
      <c r="F27" s="9"/>
    </row>
    <row r="28" spans="1:19" s="6" customFormat="1" ht="12.95" customHeight="1" x14ac:dyDescent="0.2">
      <c r="F28" s="9"/>
    </row>
    <row r="29" spans="1:19" s="6" customFormat="1" ht="12.95" customHeight="1" x14ac:dyDescent="0.2">
      <c r="F29" s="9"/>
    </row>
    <row r="30" spans="1:19" s="6" customFormat="1" ht="12.95" customHeight="1" x14ac:dyDescent="0.2">
      <c r="F30" s="9"/>
    </row>
    <row r="31" spans="1:19" s="6" customFormat="1" ht="12.95" customHeight="1" x14ac:dyDescent="0.2">
      <c r="F31" s="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2024-03-04T04:59:47Z</dcterms:created>
  <dcterms:modified xsi:type="dcterms:W3CDTF">2024-03-04T04:59:47Z</dcterms:modified>
</cp:coreProperties>
</file>