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9BED4B-7CC1-4ADC-BCBE-A3D87244CE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Q31" i="1"/>
  <c r="E32" i="1"/>
  <c r="F32" i="1"/>
  <c r="G32" i="1"/>
  <c r="N32" i="1"/>
  <c r="Q32" i="1"/>
  <c r="E33" i="1"/>
  <c r="F33" i="1"/>
  <c r="G33" i="1"/>
  <c r="Q33" i="1"/>
  <c r="E34" i="1"/>
  <c r="F34" i="1"/>
  <c r="G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Q37" i="1"/>
  <c r="E38" i="1"/>
  <c r="F38" i="1"/>
  <c r="G38" i="1"/>
  <c r="Q38" i="1"/>
  <c r="E39" i="1"/>
  <c r="F39" i="1"/>
  <c r="J39" i="1"/>
  <c r="Q39" i="1"/>
  <c r="E40" i="1"/>
  <c r="F40" i="1"/>
  <c r="U40" i="1"/>
  <c r="Q40" i="1"/>
  <c r="E41" i="1"/>
  <c r="F41" i="1"/>
  <c r="G41" i="1"/>
  <c r="Q41" i="1"/>
  <c r="E42" i="1"/>
  <c r="F42" i="1"/>
  <c r="G42" i="1"/>
  <c r="K42" i="1"/>
  <c r="Q42" i="1"/>
  <c r="E43" i="1"/>
  <c r="F43" i="1"/>
  <c r="G43" i="1"/>
  <c r="J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J48" i="1"/>
  <c r="Q48" i="1"/>
  <c r="E49" i="1"/>
  <c r="F49" i="1"/>
  <c r="G49" i="1"/>
  <c r="K49" i="1"/>
  <c r="Q49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C26" i="2"/>
  <c r="D26" i="2"/>
  <c r="E26" i="2"/>
  <c r="G26" i="2"/>
  <c r="H26" i="2"/>
  <c r="B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B29" i="2"/>
  <c r="D29" i="2"/>
  <c r="G29" i="2"/>
  <c r="C29" i="2"/>
  <c r="E29" i="2"/>
  <c r="H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J37" i="1"/>
  <c r="N37" i="1"/>
  <c r="N34" i="1"/>
  <c r="I34" i="1"/>
  <c r="I33" i="1"/>
  <c r="N33" i="1"/>
  <c r="K41" i="1"/>
  <c r="N41" i="1"/>
  <c r="J38" i="1"/>
  <c r="N38" i="1"/>
  <c r="C11" i="1"/>
  <c r="C12" i="1"/>
  <c r="C16" i="1" l="1"/>
  <c r="D18" i="1" s="1"/>
  <c r="O40" i="1"/>
  <c r="O30" i="1"/>
  <c r="O32" i="1"/>
  <c r="O34" i="1"/>
  <c r="O22" i="1"/>
  <c r="O47" i="1"/>
  <c r="O39" i="1"/>
  <c r="O43" i="1"/>
  <c r="O35" i="1"/>
  <c r="O31" i="1"/>
  <c r="O33" i="1"/>
  <c r="C15" i="1"/>
  <c r="O26" i="1"/>
  <c r="O37" i="1"/>
  <c r="O41" i="1"/>
  <c r="O45" i="1"/>
  <c r="O29" i="1"/>
  <c r="O36" i="1"/>
  <c r="O44" i="1"/>
  <c r="O25" i="1"/>
  <c r="O28" i="1"/>
  <c r="O23" i="1"/>
  <c r="O46" i="1"/>
  <c r="O24" i="1"/>
  <c r="O38" i="1"/>
  <c r="O27" i="1"/>
  <c r="O21" i="1"/>
  <c r="O42" i="1"/>
  <c r="O49" i="1"/>
  <c r="O48" i="1"/>
  <c r="F17" i="1"/>
  <c r="C18" i="1" l="1"/>
  <c r="F18" i="1"/>
  <c r="F19" i="1" s="1"/>
</calcChain>
</file>

<file path=xl/sharedStrings.xml><?xml version="1.0" encoding="utf-8"?>
<sst xmlns="http://schemas.openxmlformats.org/spreadsheetml/2006/main" count="279" uniqueCount="187">
  <si>
    <t>SU Psc / gsc 1201-1446?</t>
  </si>
  <si>
    <t>System Type:</t>
  </si>
  <si>
    <t>EB/D: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</si>
  <si>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</si>
  <si>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</si>
  <si>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</si>
  <si>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</si>
  <si>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</si>
  <si>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</si>
  <si>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</si>
  <si>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</si>
  <si>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</si>
  <si>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</si>
  <si>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</si>
  <si>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</si>
  <si>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</si>
  <si>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</si>
  <si>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</si>
  <si>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</si>
  <si>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</si>
  <si>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</si>
  <si>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</si>
  <si>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</si>
  <si>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</si>
  <si>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</si>
  <si>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</si>
  <si>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</si>
  <si>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</si>
  <si>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</si>
  <si>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</si>
  <si>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</si>
  <si>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</si>
  <si>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</si>
  <si>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</si>
  <si>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</si>
  <si>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</si>
  <si>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</si>
  <si>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</si>
  <si>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</si>
  <si>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</si>
  <si>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</si>
  <si>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</si>
  <si>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</si>
  <si>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P.Parenago PZ 4.159</t>
  </si>
  <si>
    <t>GCVS 4</t>
  </si>
  <si>
    <t>H.Rgemer AN 255.179</t>
  </si>
  <si>
    <t>J.Pagaczewski AA 27.161</t>
  </si>
  <si>
    <t>AA 27,161</t>
  </si>
  <si>
    <t>v</t>
  </si>
  <si>
    <t>K</t>
  </si>
  <si>
    <t>S.Szczyrbak AA 27.161</t>
  </si>
  <si>
    <t>BBSAG Bull.20</t>
  </si>
  <si>
    <t>Diethelm R</t>
  </si>
  <si>
    <t>B</t>
  </si>
  <si>
    <t>T.Brelstaff VSSC 68.34</t>
  </si>
  <si>
    <t>BAV-M 56</t>
  </si>
  <si>
    <t>Moschner&amp;Kleikamp BAVM 56</t>
  </si>
  <si>
    <t>BBSAG Bull.108</t>
  </si>
  <si>
    <t>Vandenbroere J</t>
  </si>
  <si>
    <t>ROTSE</t>
  </si>
  <si>
    <t>I</t>
  </si>
  <si>
    <t>II</t>
  </si>
  <si>
    <t>J.Verrot BBS 121</t>
  </si>
  <si>
    <t>J.Verrot BBS 122</t>
  </si>
  <si>
    <t>R.Diethelm BBS 126</t>
  </si>
  <si>
    <t>IBVS 5690</t>
  </si>
  <si>
    <t>IBVS 5761</t>
  </si>
  <si>
    <t>VSB 50 </t>
  </si>
  <si>
    <t>BAVM 225 </t>
  </si>
  <si>
    <t>IBVS 6011</t>
  </si>
  <si>
    <t>OEJV 0168</t>
  </si>
  <si>
    <t>IBVS 6152</t>
  </si>
  <si>
    <t>IBVS 6196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</si>
  <si>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</si>
  <si>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</si>
  <si>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</si>
  <si>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</si>
  <si>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</si>
  <si>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</si>
  <si>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</si>
  <si>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2421518.35 </t>
  </si>
  <si>
    <t> 16.10.1917 20:24 </t>
  </si>
  <si>
    <t> 0.00 </t>
  </si>
  <si>
    <t>P </t>
  </si>
  <si>
    <t> P.Parenago </t>
  </si>
  <si>
    <t> PZ 4.159 </t>
  </si>
  <si>
    <t>2423698.35 </t>
  </si>
  <si>
    <t> 05.10.1923 20:24 </t>
  </si>
  <si>
    <t> 0.02 </t>
  </si>
  <si>
    <t>2425151.57 </t>
  </si>
  <si>
    <t> 28.09.1927 01:40 </t>
  </si>
  <si>
    <t> -0.09 </t>
  </si>
  <si>
    <t>2426004.344 </t>
  </si>
  <si>
    <t> 27.01.1930 20:15 </t>
  </si>
  <si>
    <t> 0.000 </t>
  </si>
  <si>
    <t>F </t>
  </si>
  <si>
    <t> H.Rügemer </t>
  </si>
  <si>
    <t> AN 255.179 </t>
  </si>
  <si>
    <t>2426580.841 </t>
  </si>
  <si>
    <t> 27.08.1931 08:11 </t>
  </si>
  <si>
    <t> -0.006 </t>
  </si>
  <si>
    <t>2426618.327 </t>
  </si>
  <si>
    <t> 03.10.1931 19:50 </t>
  </si>
  <si>
    <t> -0.060 </t>
  </si>
  <si>
    <t>V </t>
  </si>
  <si>
    <t> J.Pagaczewski </t>
  </si>
  <si>
    <t> AA 27.161 </t>
  </si>
  <si>
    <t>2426945.527 </t>
  </si>
  <si>
    <t> 26.08.1932 00:38 </t>
  </si>
  <si>
    <t> 0.008 </t>
  </si>
  <si>
    <t>2427385.270 </t>
  </si>
  <si>
    <t> 08.11.1933 18:28 </t>
  </si>
  <si>
    <t>2427739.210 </t>
  </si>
  <si>
    <t> 28.10.1934 17:02 </t>
  </si>
  <si>
    <t> S.Szczyrbak </t>
  </si>
  <si>
    <t>2442417.271 </t>
  </si>
  <si>
    <t> 04.01.1975 18:30 </t>
  </si>
  <si>
    <t> 0.023 </t>
  </si>
  <si>
    <t> R.Diethelm </t>
  </si>
  <si>
    <t> BBS 20 </t>
  </si>
  <si>
    <t>2446297.014 </t>
  </si>
  <si>
    <t> 19.08.1985 12:20 </t>
  </si>
  <si>
    <t> -0.233 </t>
  </si>
  <si>
    <t> T.Brelstaff </t>
  </si>
  <si>
    <t> VSSC 68.34 </t>
  </si>
  <si>
    <t>2447817.378 </t>
  </si>
  <si>
    <t> 17.10.1989 21:04 </t>
  </si>
  <si>
    <t> -0.228 </t>
  </si>
  <si>
    <t> Moschner&amp;Kleikamp </t>
  </si>
  <si>
    <t>BAVM 56 </t>
  </si>
  <si>
    <t>2449608.528 </t>
  </si>
  <si>
    <t> 13.09.1994 00:40 </t>
  </si>
  <si>
    <t> -0.259 </t>
  </si>
  <si>
    <t> J.Vandenbroere </t>
  </si>
  <si>
    <t> BBS 108 </t>
  </si>
  <si>
    <t>2449635.365 </t>
  </si>
  <si>
    <t> 09.10.1994 20:45 </t>
  </si>
  <si>
    <t> -0.237 </t>
  </si>
  <si>
    <t>2451519.293 </t>
  </si>
  <si>
    <t> 06.12.1999 19:01 </t>
  </si>
  <si>
    <t> 0.002 </t>
  </si>
  <si>
    <t> J.Verrot </t>
  </si>
  <si>
    <t> BBS 121 </t>
  </si>
  <si>
    <t>2451547.245 </t>
  </si>
  <si>
    <t> 03.01.2000 17:52 </t>
  </si>
  <si>
    <t> -0.201 </t>
  </si>
  <si>
    <t> BBS 122 </t>
  </si>
  <si>
    <t>2452150.470 </t>
  </si>
  <si>
    <t> 28.08.2001 23:16 </t>
  </si>
  <si>
    <t> -0.293 </t>
  </si>
  <si>
    <t>E </t>
  </si>
  <si>
    <t>?</t>
  </si>
  <si>
    <t> BBS 126 </t>
  </si>
  <si>
    <t>2453257.8957 </t>
  </si>
  <si>
    <t> 09.09.2004 09:29 </t>
  </si>
  <si>
    <t> -0.2894 </t>
  </si>
  <si>
    <t> T. Krajci </t>
  </si>
  <si>
    <t>IBVS 5690 </t>
  </si>
  <si>
    <t>2454019.4090 </t>
  </si>
  <si>
    <t> 10.10.2006 21:48 </t>
  </si>
  <si>
    <t> -0.2962 </t>
  </si>
  <si>
    <t>C </t>
  </si>
  <si>
    <t>-I</t>
  </si>
  <si>
    <t> F. Agerer </t>
  </si>
  <si>
    <t>BAVM 183 </t>
  </si>
  <si>
    <t>2455893.6968 </t>
  </si>
  <si>
    <t> 28.11.2011 04:43 </t>
  </si>
  <si>
    <t>11147</t>
  </si>
  <si>
    <t> -0.3133 </t>
  </si>
  <si>
    <t>IBVS 6011 </t>
  </si>
  <si>
    <t>2456943.4667 </t>
  </si>
  <si>
    <t> 12.10.2014 23:12 </t>
  </si>
  <si>
    <t>11538.5</t>
  </si>
  <si>
    <t> -0.3150 </t>
  </si>
  <si>
    <t> F.Agerer </t>
  </si>
  <si>
    <t>BAVM 239 </t>
  </si>
  <si>
    <t>2455124.1408 </t>
  </si>
  <si>
    <t> 19.10.2009 15:22 </t>
  </si>
  <si>
    <t>10860</t>
  </si>
  <si>
    <t> -0.3049 </t>
  </si>
  <si>
    <t>Rc</t>
  </si>
  <si>
    <t> K.Shiokawa </t>
  </si>
  <si>
    <t>2455888.3355 </t>
  </si>
  <si>
    <t> 22.11.2011 20:03 </t>
  </si>
  <si>
    <t>11145</t>
  </si>
  <si>
    <t> -0.3118 </t>
  </si>
  <si>
    <t> D.Böhme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</si>
</sst>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33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2" fillId="0" borderId="0" applyFill="0" applyBorder="0" applyProtection="0">
      <alignment vertical="top"/>
    </xf>
    <xf numFmtId="164" fontId="32" fillId="0" borderId="0" applyFill="0" applyBorder="0" applyProtection="0">
      <alignment vertical="top"/>
    </xf>
    <xf numFmtId="0" fontId="3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69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0" fillId="0" borderId="0" xfId="0" applyAlignment="1">
      <alignment horizontal="center"/>
    </xf>
    <xf numFmtId="0" fontId="24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9" fillId="0" borderId="0" xfId="42" applyFont="1" applyAlignment="1">
      <alignment wrapText="1"/>
    </xf>
    <xf numFmtId="0" fontId="29" fillId="0" borderId="0" xfId="42" applyFont="1" applyAlignment="1">
      <alignment horizontal="center" wrapText="1"/>
    </xf>
    <xf numFmtId="0" fontId="29" fillId="0" borderId="0" xfId="42" applyFont="1" applyAlignment="1">
      <alignment horizontal="left" wrapText="1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31" fillId="0" borderId="0" xfId="38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1" fillId="24" borderId="18" xfId="38" applyNumberFormat="1" applyFont="1" applyFill="1" applyBorder="1" applyAlignment="1" applyProtection="1">
      <alignment horizontal="right" vertical="top" wrapText="1"/>
    </xf>
    <xf numFmtId="167" fontId="0" fillId="0" borderId="0" xfId="0" applyNumberFormat="1" applyFill="1" applyAlignment="1"/>
    <xf numFmtId="0" fontId="0" fillId="0" borderId="0" xfId="0" applyFill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4" fillId="0" borderId="0" xfId="0" applyFont="1" applyFill="1" applyAlignment="1">
      <alignment vertical="center"/>
    </xf>
    <xf numFmtId="165" fontId="23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67" fontId="0" fillId="0" borderId="0" xfId="0" applyNumberFormat="1" applyFill="1" applyAlignment="1">
      <alignment vertical="center"/>
    </xf>
    <xf numFmtId="0" fontId="29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Psc - O-C Diagr.</a:t>
            </a:r>
          </a:p>
        </c:rich>
      </c:tx>
      <c:layout>
        <c:manualLayout>
          <c:xMode val="edge"/>
          <c:yMode val="edge"/>
          <c:x val="0.37458797848288766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648597143179"/>
          <c:y val="0.14989583849188662"/>
          <c:w val="0.80198149040437161"/>
          <c:h val="0.64360752075801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Active!$H$21:$H$490</c:f>
              <c:numCache>
                <c:formatCode>General</c:formatCode>
                <c:ptCount val="470"/>
                <c:pt idx="0">
                  <c:v>3.2569999966653995E-3</c:v>
                </c:pt>
                <c:pt idx="1">
                  <c:v>1.773999999568332E-2</c:v>
                </c:pt>
                <c:pt idx="2">
                  <c:v>-8.5938000000169268E-2</c:v>
                </c:pt>
                <c:pt idx="3">
                  <c:v>0</c:v>
                </c:pt>
                <c:pt idx="4">
                  <c:v>-5.9350000010454096E-3</c:v>
                </c:pt>
                <c:pt idx="5">
                  <c:v>-5.9660999999323394E-2</c:v>
                </c:pt>
                <c:pt idx="6">
                  <c:v>8.4409999981289729E-3</c:v>
                </c:pt>
                <c:pt idx="7">
                  <c:v>3.6499999987427145E-4</c:v>
                </c:pt>
                <c:pt idx="8">
                  <c:v>-5.6230000009236392E-3</c:v>
                </c:pt>
                <c:pt idx="9">
                  <c:v>-5.6230000009236392E-3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1-4289-980E-3B1EDF8583D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Active!$I$21:$I$490</c:f>
              <c:numCache>
                <c:formatCode>General</c:formatCode>
                <c:ptCount val="470"/>
                <c:pt idx="12">
                  <c:v>-0.22821500000281958</c:v>
                </c:pt>
                <c:pt idx="13">
                  <c:v>-0.22821500000281958</c:v>
                </c:pt>
                <c:pt idx="14">
                  <c:v>-0.25942700000450714</c:v>
                </c:pt>
                <c:pt idx="15">
                  <c:v>-0.23651700000482379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1-4289-980E-3B1EDF8583D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Active!$J$21:$J$490</c:f>
              <c:numCache>
                <c:formatCode>General</c:formatCode>
                <c:ptCount val="470"/>
                <c:pt idx="16">
                  <c:v>-0.26114899999811314</c:v>
                </c:pt>
                <c:pt idx="17">
                  <c:v>-0.27385350000258768</c:v>
                </c:pt>
                <c:pt idx="18">
                  <c:v>0</c:v>
                </c:pt>
                <c:pt idx="22">
                  <c:v>-0.29623200000060024</c:v>
                </c:pt>
                <c:pt idx="27">
                  <c:v>-0.31504649999988033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81-4289-980E-3B1EDF8583D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Active!$K$21:$K$490</c:f>
              <c:numCache>
                <c:formatCode>General</c:formatCode>
                <c:ptCount val="470"/>
                <c:pt idx="20">
                  <c:v>-0.2931590000007418</c:v>
                </c:pt>
                <c:pt idx="21">
                  <c:v>-0.28937600000062957</c:v>
                </c:pt>
                <c:pt idx="23">
                  <c:v>-0.30493999999453081</c:v>
                </c:pt>
                <c:pt idx="24">
                  <c:v>-0.31180499999754829</c:v>
                </c:pt>
                <c:pt idx="25">
                  <c:v>-0.31332300000212854</c:v>
                </c:pt>
                <c:pt idx="26">
                  <c:v>-0.31744100000651088</c:v>
                </c:pt>
                <c:pt idx="28">
                  <c:v>-0.32465950000187149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81-4289-980E-3B1EDF8583D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Active!$L$21:$L$490</c:f>
              <c:numCache>
                <c:formatCode>General</c:formatCode>
                <c:ptCount val="4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81-4289-980E-3B1EDF8583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Active!$M$21:$M$490</c:f>
              <c:numCache>
                <c:formatCode>General</c:formatCode>
                <c:ptCount val="4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81-4289-980E-3B1EDF8583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Active!$N$21:$N$490</c:f>
              <c:numCache>
                <c:formatCode>General</c:formatCode>
                <c:ptCount val="470"/>
                <c:pt idx="11">
                  <c:v>-0.23331199999665841</c:v>
                </c:pt>
                <c:pt idx="12">
                  <c:v>-0.22821500000281958</c:v>
                </c:pt>
                <c:pt idx="13">
                  <c:v>-0.22821500000281958</c:v>
                </c:pt>
                <c:pt idx="16">
                  <c:v>-0.26114899999811314</c:v>
                </c:pt>
                <c:pt idx="17">
                  <c:v>-0.27385350000258768</c:v>
                </c:pt>
                <c:pt idx="20">
                  <c:v>-0.2931590000007418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81-4289-980E-3B1EDF8583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Active!$O$21:$O$490</c:f>
              <c:numCache>
                <c:formatCode>General</c:formatCode>
                <c:ptCount val="470"/>
                <c:pt idx="0">
                  <c:v>2.9046742527828226E-2</c:v>
                </c:pt>
                <c:pt idx="1">
                  <c:v>7.3901813443512862E-3</c:v>
                </c:pt>
                <c:pt idx="2">
                  <c:v>-7.0475261113000058E-3</c:v>
                </c:pt>
                <c:pt idx="3">
                  <c:v>-1.5518358160925672E-2</c:v>
                </c:pt>
                <c:pt idx="4">
                  <c:v>-2.1245493037244913E-2</c:v>
                </c:pt>
                <c:pt idx="5">
                  <c:v>-2.1618422750121512E-2</c:v>
                </c:pt>
                <c:pt idx="6">
                  <c:v>-2.4868238819474756E-2</c:v>
                </c:pt>
                <c:pt idx="7">
                  <c:v>-2.9236844027457805E-2</c:v>
                </c:pt>
                <c:pt idx="8">
                  <c:v>-3.2753038463151474E-2</c:v>
                </c:pt>
                <c:pt idx="9">
                  <c:v>-3.2753038463151474E-2</c:v>
                </c:pt>
                <c:pt idx="10">
                  <c:v>-0.17856855619790271</c:v>
                </c:pt>
                <c:pt idx="11">
                  <c:v>-0.21711350580736291</c:v>
                </c:pt>
                <c:pt idx="12">
                  <c:v>-0.23221715917886526</c:v>
                </c:pt>
                <c:pt idx="13">
                  <c:v>-0.23221715917886526</c:v>
                </c:pt>
                <c:pt idx="14">
                  <c:v>-0.25001123405040598</c:v>
                </c:pt>
                <c:pt idx="15">
                  <c:v>-0.2502776124167464</c:v>
                </c:pt>
                <c:pt idx="16">
                  <c:v>-0.26753893055560624</c:v>
                </c:pt>
                <c:pt idx="17">
                  <c:v>-0.26755224947392325</c:v>
                </c:pt>
                <c:pt idx="18">
                  <c:v>-0.26899069265216158</c:v>
                </c:pt>
                <c:pt idx="19">
                  <c:v>-0.26927038993681907</c:v>
                </c:pt>
                <c:pt idx="20">
                  <c:v>-0.27526390317947874</c:v>
                </c:pt>
                <c:pt idx="21">
                  <c:v>-0.28626532970933849</c:v>
                </c:pt>
                <c:pt idx="22">
                  <c:v>-0.29383047531340667</c:v>
                </c:pt>
                <c:pt idx="23">
                  <c:v>-0.30480526400663238</c:v>
                </c:pt>
                <c:pt idx="24">
                  <c:v>-0.31239704744733465</c:v>
                </c:pt>
                <c:pt idx="25">
                  <c:v>-0.31245032312060272</c:v>
                </c:pt>
                <c:pt idx="26">
                  <c:v>-0.31916305795238153</c:v>
                </c:pt>
                <c:pt idx="27">
                  <c:v>-0.32287903616283053</c:v>
                </c:pt>
                <c:pt idx="28">
                  <c:v>-0.32706117651437527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81-4289-980E-3B1EDF8583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Active!$F$21:$F$490</c:f>
              <c:numCache>
                <c:formatCode>General</c:formatCode>
                <c:ptCount val="470"/>
                <c:pt idx="0">
                  <c:v>-1673</c:v>
                </c:pt>
                <c:pt idx="1">
                  <c:v>-860</c:v>
                </c:pt>
                <c:pt idx="2">
                  <c:v>-318</c:v>
                </c:pt>
                <c:pt idx="3">
                  <c:v>0</c:v>
                </c:pt>
                <c:pt idx="4">
                  <c:v>215</c:v>
                </c:pt>
                <c:pt idx="5">
                  <c:v>229</c:v>
                </c:pt>
                <c:pt idx="6">
                  <c:v>351</c:v>
                </c:pt>
                <c:pt idx="7">
                  <c:v>515</c:v>
                </c:pt>
                <c:pt idx="8">
                  <c:v>647</c:v>
                </c:pt>
                <c:pt idx="9">
                  <c:v>647</c:v>
                </c:pt>
                <c:pt idx="10">
                  <c:v>6121</c:v>
                </c:pt>
                <c:pt idx="11">
                  <c:v>7568</c:v>
                </c:pt>
                <c:pt idx="12">
                  <c:v>8135</c:v>
                </c:pt>
                <c:pt idx="13">
                  <c:v>8135</c:v>
                </c:pt>
                <c:pt idx="14">
                  <c:v>8803</c:v>
                </c:pt>
                <c:pt idx="15">
                  <c:v>8813</c:v>
                </c:pt>
                <c:pt idx="16">
                  <c:v>9461</c:v>
                </c:pt>
                <c:pt idx="17">
                  <c:v>9461.5</c:v>
                </c:pt>
                <c:pt idx="18">
                  <c:v>9515.5</c:v>
                </c:pt>
                <c:pt idx="19">
                  <c:v>9526</c:v>
                </c:pt>
                <c:pt idx="20">
                  <c:v>9751</c:v>
                </c:pt>
                <c:pt idx="21">
                  <c:v>10164</c:v>
                </c:pt>
                <c:pt idx="22">
                  <c:v>10448</c:v>
                </c:pt>
                <c:pt idx="23">
                  <c:v>10860</c:v>
                </c:pt>
                <c:pt idx="24">
                  <c:v>11145</c:v>
                </c:pt>
                <c:pt idx="25">
                  <c:v>11147</c:v>
                </c:pt>
                <c:pt idx="26">
                  <c:v>11399</c:v>
                </c:pt>
                <c:pt idx="27">
                  <c:v>11538.5</c:v>
                </c:pt>
                <c:pt idx="28">
                  <c:v>11695.5</c:v>
                </c:pt>
              </c:numCache>
            </c:numRef>
          </c:xVal>
          <c:yVal>
            <c:numRef>
              <c:f>Active!$U$21:$U$490</c:f>
              <c:numCache>
                <c:formatCode>General</c:formatCode>
                <c:ptCount val="470"/>
                <c:pt idx="10">
                  <c:v>2.2510999995574821E-2</c:v>
                </c:pt>
                <c:pt idx="18">
                  <c:v>1.6604999982519075E-3</c:v>
                </c:pt>
                <c:pt idx="19">
                  <c:v>-0.20113399999536341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81-4289-980E-3B1EDF85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176520"/>
        <c:axId val="1"/>
      </c:scatterChart>
      <c:valAx>
        <c:axId val="55517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526814098732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5561879022548E-2"/>
              <c:y val="0.44025289291668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17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86155938428488"/>
          <c:y val="0.9088076726258274"/>
          <c:w val="0.87953933976074772"/>
          <c:h val="6.9182720084517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247650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A87F2B-EC6C-C077-D67A-34E30BC7B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22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39" customFormat="1" ht="12.95" customHeight="1">
      <c r="A2" s="39" t="s">
        <v>1</v>
      </c>
      <c r="B2" s="40" t="s">
        <v>2</v>
      </c>
    </row>
    <row r="3" spans="1:6" s="39" customFormat="1" ht="12.95" customHeight="1"/>
    <row r="4" spans="1:6" s="39" customFormat="1" ht="12.95" customHeight="1">
      <c r="A4" s="41" t="s">
        <v>3</v>
      </c>
      <c r="C4" s="42">
        <v>26004.344000000001</v>
      </c>
      <c r="D4" s="43">
        <v>2.6814089999999999</v>
      </c>
    </row>
    <row r="5" spans="1:6" s="39" customFormat="1" ht="12.95" customHeight="1">
      <c r="A5" s="44" t="s">
        <v>4</v>
      </c>
      <c r="B5" s="45"/>
      <c r="C5" s="46">
        <v>-9.5</v>
      </c>
      <c r="D5" s="45" t="s">
        <v>5</v>
      </c>
    </row>
    <row r="6" spans="1:6" s="39" customFormat="1" ht="12.95" customHeight="1">
      <c r="A6" s="41" t="s">
        <v>6</v>
      </c>
    </row>
    <row r="7" spans="1:6" s="39" customFormat="1" ht="12.95" customHeight="1">
      <c r="A7" s="39" t="s">
        <v>7</v>
      </c>
      <c r="C7" s="39">
        <f>+C4</f>
        <v>26004.344000000001</v>
      </c>
    </row>
    <row r="8" spans="1:6" s="39" customFormat="1" ht="12.95" customHeight="1">
      <c r="A8" s="39" t="s">
        <v>8</v>
      </c>
      <c r="C8" s="39">
        <f>+D4</f>
        <v>2.6814089999999999</v>
      </c>
    </row>
    <row r="9" spans="1:6" s="39" customFormat="1" ht="12.95" customHeight="1">
      <c r="A9" s="47" t="s">
        <v>9</v>
      </c>
      <c r="B9" s="48">
        <v>21</v>
      </c>
      <c r="C9" s="49" t="str">
        <f>"F"&amp;B9</f>
        <v>F21</v>
      </c>
      <c r="D9" s="50" t="str">
        <f>"G"&amp;B9</f>
        <v>G21</v>
      </c>
    </row>
    <row r="10" spans="1:6" s="39" customFormat="1" ht="12.95" customHeight="1">
      <c r="A10" s="45"/>
      <c r="B10" s="45"/>
      <c r="C10" s="51" t="s">
        <v>10</v>
      </c>
      <c r="D10" s="51" t="s">
        <v>11</v>
      </c>
      <c r="E10" s="45"/>
    </row>
    <row r="11" spans="1:6" s="39" customFormat="1" ht="12.95" customHeight="1">
      <c r="A11" s="45" t="s">
        <v>12</v>
      </c>
      <c r="B11" s="45"/>
      <c r="C11" s="52">
        <f ca="1">INTERCEPT(INDIRECT($D$9):G992,INDIRECT($C$9):F992)</f>
        <v>-1.5518358160925672E-2</v>
      </c>
      <c r="D11" s="53"/>
      <c r="E11" s="45"/>
    </row>
    <row r="12" spans="1:6" s="39" customFormat="1" ht="12.95" customHeight="1">
      <c r="A12" s="45" t="s">
        <v>13</v>
      </c>
      <c r="B12" s="45"/>
      <c r="C12" s="52">
        <f ca="1">SLOPE(INDIRECT($D$9):G992,INDIRECT($C$9):F992)</f>
        <v>-2.6637836634042975E-5</v>
      </c>
      <c r="D12" s="53"/>
      <c r="E12" s="45"/>
    </row>
    <row r="13" spans="1:6" s="39" customFormat="1" ht="12.95" customHeight="1">
      <c r="A13" s="45" t="s">
        <v>14</v>
      </c>
      <c r="B13" s="45"/>
      <c r="C13" s="53" t="s">
        <v>15</v>
      </c>
    </row>
    <row r="14" spans="1:6" s="39" customFormat="1" ht="12.95" customHeight="1">
      <c r="A14" s="45"/>
      <c r="B14" s="45"/>
      <c r="C14" s="45"/>
    </row>
    <row r="15" spans="1:6" s="39" customFormat="1" ht="12.95" customHeight="1">
      <c r="A15" s="54" t="s">
        <v>16</v>
      </c>
      <c r="B15" s="45"/>
      <c r="C15" s="55">
        <f ca="1">(C7+C11)+(C8+C12)*INT(MAX(F21:F3533))</f>
        <v>57363.095207142404</v>
      </c>
      <c r="E15" s="56" t="s">
        <v>17</v>
      </c>
      <c r="F15" s="46">
        <v>1</v>
      </c>
    </row>
    <row r="16" spans="1:6" s="39" customFormat="1" ht="12.95" customHeight="1">
      <c r="A16" s="54" t="s">
        <v>18</v>
      </c>
      <c r="B16" s="45"/>
      <c r="C16" s="55">
        <f ca="1">+C8+C12</f>
        <v>2.6813823621633657</v>
      </c>
      <c r="E16" s="56" t="s">
        <v>19</v>
      </c>
      <c r="F16" s="52">
        <f ca="1">NOW()+15018.5+$C$5/24</f>
        <v>60373.758672800926</v>
      </c>
    </row>
    <row r="17" spans="1:31" s="39" customFormat="1" ht="12.95" customHeight="1">
      <c r="A17" s="56" t="s">
        <v>20</v>
      </c>
      <c r="B17" s="45"/>
      <c r="C17" s="45">
        <f>COUNT(C21:C2191)</f>
        <v>29</v>
      </c>
      <c r="E17" s="56" t="s">
        <v>21</v>
      </c>
      <c r="F17" s="52">
        <f ca="1">ROUND(2*(F16-$C$7)/$C$8,0)/2+F15</f>
        <v>12818.5</v>
      </c>
    </row>
    <row r="18" spans="1:31" s="39" customFormat="1" ht="12.95" customHeight="1">
      <c r="A18" s="54" t="s">
        <v>22</v>
      </c>
      <c r="B18" s="45"/>
      <c r="C18" s="57">
        <f ca="1">+C15</f>
        <v>57363.095207142404</v>
      </c>
      <c r="D18" s="58">
        <f ca="1">+C16</f>
        <v>2.6813823621633657</v>
      </c>
      <c r="E18" s="56" t="s">
        <v>23</v>
      </c>
      <c r="F18" s="50">
        <f ca="1">ROUND(2*(F16-$C$15)/$C$16,0)/2+F15</f>
        <v>1124</v>
      </c>
      <c r="U18" s="59"/>
    </row>
    <row r="19" spans="1:31" s="39" customFormat="1" ht="12.95" customHeight="1">
      <c r="E19" s="56" t="s">
        <v>24</v>
      </c>
      <c r="F19" s="60">
        <f ca="1">+$C$15+$C$16*F18-15018.5-$C$5/24</f>
        <v>45358.864815547364</v>
      </c>
      <c r="U19" s="59"/>
    </row>
    <row r="20" spans="1:31" s="39" customFormat="1" ht="12.95" customHeight="1">
      <c r="A20" s="61" t="s">
        <v>25</v>
      </c>
      <c r="B20" s="61" t="s">
        <v>26</v>
      </c>
      <c r="C20" s="61" t="s">
        <v>27</v>
      </c>
      <c r="D20" s="61" t="s">
        <v>28</v>
      </c>
      <c r="E20" s="61" t="s">
        <v>29</v>
      </c>
      <c r="F20" s="61" t="s">
        <v>30</v>
      </c>
      <c r="G20" s="61" t="s">
        <v>31</v>
      </c>
      <c r="H20" s="62" t="s">
        <v>32</v>
      </c>
      <c r="I20" s="62" t="s">
        <v>33</v>
      </c>
      <c r="J20" s="62" t="s">
        <v>34</v>
      </c>
      <c r="K20" s="62" t="s">
        <v>35</v>
      </c>
      <c r="L20" s="62" t="s">
        <v>36</v>
      </c>
      <c r="M20" s="62" t="s">
        <v>37</v>
      </c>
      <c r="N20" s="62" t="s">
        <v>38</v>
      </c>
      <c r="O20" s="62" t="s">
        <v>39</v>
      </c>
      <c r="P20" s="62" t="s">
        <v>40</v>
      </c>
      <c r="Q20" s="61" t="s">
        <v>41</v>
      </c>
      <c r="U20" s="63" t="s">
        <v>42</v>
      </c>
    </row>
    <row r="21" spans="1:31" s="39" customFormat="1" ht="12.95" customHeight="1">
      <c r="A21" s="64" t="s">
        <v>43</v>
      </c>
      <c r="B21" s="65"/>
      <c r="C21" s="66">
        <v>21518.35</v>
      </c>
      <c r="D21" s="66"/>
      <c r="E21" s="39">
        <f t="shared" ref="E21:E48" si="0">+(C21-C$7)/C$8</f>
        <v>-1672.9987853400964</v>
      </c>
      <c r="F21" s="39">
        <f t="shared" ref="F21:F49" si="1">ROUND(2*E21,0)/2</f>
        <v>-1673</v>
      </c>
      <c r="G21" s="39">
        <f t="shared" ref="G21:G30" si="2">+C21-(C$7+F21*C$8)</f>
        <v>3.2569999966653995E-3</v>
      </c>
      <c r="H21" s="39">
        <f>G21</f>
        <v>3.2569999966653995E-3</v>
      </c>
      <c r="O21" s="39">
        <f t="shared" ref="O21:O48" ca="1" si="3">+C$11+C$12*$F21</f>
        <v>2.9046742527828226E-2</v>
      </c>
      <c r="Q21" s="67">
        <f t="shared" ref="Q21:Q48" si="4">+C21-15018.5</f>
        <v>6499.8499999999985</v>
      </c>
      <c r="U21" s="59"/>
    </row>
    <row r="22" spans="1:31" s="39" customFormat="1" ht="12.95" customHeight="1">
      <c r="A22" s="64" t="s">
        <v>43</v>
      </c>
      <c r="B22" s="65"/>
      <c r="C22" s="66">
        <v>23698.35</v>
      </c>
      <c r="D22" s="66"/>
      <c r="E22" s="39">
        <f t="shared" si="0"/>
        <v>-859.99338407531354</v>
      </c>
      <c r="F22" s="39">
        <f t="shared" si="1"/>
        <v>-860</v>
      </c>
      <c r="G22" s="39">
        <f t="shared" si="2"/>
        <v>1.773999999568332E-2</v>
      </c>
      <c r="H22" s="39">
        <f>G22</f>
        <v>1.773999999568332E-2</v>
      </c>
      <c r="O22" s="39">
        <f t="shared" ca="1" si="3"/>
        <v>7.3901813443512862E-3</v>
      </c>
      <c r="Q22" s="67">
        <f t="shared" si="4"/>
        <v>8679.8499999999985</v>
      </c>
      <c r="U22" s="59"/>
    </row>
    <row r="23" spans="1:31" s="39" customFormat="1" ht="12.95" customHeight="1">
      <c r="A23" s="64" t="s">
        <v>43</v>
      </c>
      <c r="B23" s="65"/>
      <c r="C23" s="66">
        <v>25151.57</v>
      </c>
      <c r="D23" s="66"/>
      <c r="E23" s="39">
        <f t="shared" si="0"/>
        <v>-318.03204956797015</v>
      </c>
      <c r="F23" s="39">
        <f t="shared" si="1"/>
        <v>-318</v>
      </c>
      <c r="G23" s="39">
        <f t="shared" si="2"/>
        <v>-8.5938000000169268E-2</v>
      </c>
      <c r="H23" s="39">
        <f>G23</f>
        <v>-8.5938000000169268E-2</v>
      </c>
      <c r="O23" s="39">
        <f t="shared" ca="1" si="3"/>
        <v>-7.0475261113000058E-3</v>
      </c>
      <c r="Q23" s="67">
        <f t="shared" si="4"/>
        <v>10133.07</v>
      </c>
      <c r="U23" s="59"/>
    </row>
    <row r="24" spans="1:31" s="39" customFormat="1" ht="12.95" customHeight="1">
      <c r="A24" s="64" t="s">
        <v>44</v>
      </c>
      <c r="B24" s="65"/>
      <c r="C24" s="66">
        <v>26004.344000000001</v>
      </c>
      <c r="D24" s="66" t="s">
        <v>15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ref="H24:H30" si="5">G24</f>
        <v>0</v>
      </c>
      <c r="O24" s="39">
        <f t="shared" ca="1" si="3"/>
        <v>-1.5518358160925672E-2</v>
      </c>
      <c r="Q24" s="67">
        <f t="shared" si="4"/>
        <v>10985.844000000001</v>
      </c>
      <c r="U24" s="59"/>
    </row>
    <row r="25" spans="1:31" s="39" customFormat="1" ht="12.95" customHeight="1">
      <c r="A25" s="64" t="s">
        <v>45</v>
      </c>
      <c r="B25" s="65"/>
      <c r="C25" s="66">
        <v>26580.841</v>
      </c>
      <c r="D25" s="66"/>
      <c r="E25" s="39">
        <f t="shared" si="0"/>
        <v>214.99778661144174</v>
      </c>
      <c r="F25" s="39">
        <f t="shared" si="1"/>
        <v>215</v>
      </c>
      <c r="G25" s="39">
        <f t="shared" si="2"/>
        <v>-5.9350000010454096E-3</v>
      </c>
      <c r="H25" s="39">
        <f t="shared" si="5"/>
        <v>-5.9350000010454096E-3</v>
      </c>
      <c r="O25" s="39">
        <f t="shared" ca="1" si="3"/>
        <v>-2.1245493037244913E-2</v>
      </c>
      <c r="Q25" s="67">
        <f t="shared" si="4"/>
        <v>11562.341</v>
      </c>
      <c r="U25" s="59"/>
    </row>
    <row r="26" spans="1:31" s="39" customFormat="1" ht="12.95" customHeight="1">
      <c r="A26" s="64" t="s">
        <v>46</v>
      </c>
      <c r="B26" s="65"/>
      <c r="C26" s="66">
        <v>26618.327000000001</v>
      </c>
      <c r="D26" s="66"/>
      <c r="E26" s="39">
        <f t="shared" si="0"/>
        <v>228.9777501306217</v>
      </c>
      <c r="F26" s="39">
        <f t="shared" si="1"/>
        <v>229</v>
      </c>
      <c r="G26" s="39">
        <f t="shared" si="2"/>
        <v>-5.9660999999323394E-2</v>
      </c>
      <c r="H26" s="39">
        <f t="shared" si="5"/>
        <v>-5.9660999999323394E-2</v>
      </c>
      <c r="O26" s="39">
        <f t="shared" ca="1" si="3"/>
        <v>-2.1618422750121512E-2</v>
      </c>
      <c r="Q26" s="67">
        <f t="shared" si="4"/>
        <v>11599.827000000001</v>
      </c>
      <c r="U26" s="59"/>
    </row>
    <row r="27" spans="1:31" s="39" customFormat="1" ht="12.95" customHeight="1">
      <c r="A27" s="64" t="s">
        <v>45</v>
      </c>
      <c r="B27" s="65"/>
      <c r="C27" s="66">
        <v>26945.526999999998</v>
      </c>
      <c r="D27" s="66"/>
      <c r="E27" s="39">
        <f t="shared" si="0"/>
        <v>351.00314797183023</v>
      </c>
      <c r="F27" s="39">
        <f t="shared" si="1"/>
        <v>351</v>
      </c>
      <c r="G27" s="39">
        <f t="shared" si="2"/>
        <v>8.4409999981289729E-3</v>
      </c>
      <c r="H27" s="39">
        <f t="shared" si="5"/>
        <v>8.4409999981289729E-3</v>
      </c>
      <c r="O27" s="39">
        <f t="shared" ca="1" si="3"/>
        <v>-2.4868238819474756E-2</v>
      </c>
      <c r="Q27" s="67">
        <f t="shared" si="4"/>
        <v>11927.026999999998</v>
      </c>
      <c r="U27" s="59"/>
    </row>
    <row r="28" spans="1:31" s="39" customFormat="1" ht="12.95" customHeight="1">
      <c r="A28" s="64" t="s">
        <v>45</v>
      </c>
      <c r="B28" s="65"/>
      <c r="C28" s="66">
        <v>27385.27</v>
      </c>
      <c r="D28" s="66"/>
      <c r="E28" s="39">
        <f t="shared" si="0"/>
        <v>515.0001361224638</v>
      </c>
      <c r="F28" s="39">
        <f t="shared" si="1"/>
        <v>515</v>
      </c>
      <c r="G28" s="39">
        <f t="shared" si="2"/>
        <v>3.6499999987427145E-4</v>
      </c>
      <c r="H28" s="39">
        <f t="shared" si="5"/>
        <v>3.6499999987427145E-4</v>
      </c>
      <c r="O28" s="39">
        <f t="shared" ca="1" si="3"/>
        <v>-2.9236844027457805E-2</v>
      </c>
      <c r="Q28" s="67">
        <f t="shared" si="4"/>
        <v>12366.77</v>
      </c>
      <c r="U28" s="59"/>
    </row>
    <row r="29" spans="1:31" s="39" customFormat="1" ht="12.95" customHeight="1">
      <c r="A29" s="64" t="s">
        <v>47</v>
      </c>
      <c r="B29" s="65"/>
      <c r="C29" s="66">
        <v>27739.21</v>
      </c>
      <c r="D29" s="66"/>
      <c r="E29" s="39">
        <f t="shared" si="0"/>
        <v>646.99790296817764</v>
      </c>
      <c r="F29" s="39">
        <f t="shared" si="1"/>
        <v>647</v>
      </c>
      <c r="G29" s="39">
        <f t="shared" si="2"/>
        <v>-5.6230000009236392E-3</v>
      </c>
      <c r="H29" s="39">
        <f t="shared" si="5"/>
        <v>-5.6230000009236392E-3</v>
      </c>
      <c r="O29" s="39">
        <f t="shared" ca="1" si="3"/>
        <v>-3.2753038463151474E-2</v>
      </c>
      <c r="Q29" s="67">
        <f t="shared" si="4"/>
        <v>12720.71</v>
      </c>
      <c r="U29" s="59"/>
      <c r="Z29" s="39" t="s">
        <v>48</v>
      </c>
      <c r="AE29" s="39" t="s">
        <v>49</v>
      </c>
    </row>
    <row r="30" spans="1:31" s="39" customFormat="1" ht="12.95" customHeight="1">
      <c r="A30" s="64" t="s">
        <v>50</v>
      </c>
      <c r="B30" s="65"/>
      <c r="C30" s="66">
        <v>27739.21</v>
      </c>
      <c r="D30" s="66"/>
      <c r="E30" s="39">
        <f t="shared" si="0"/>
        <v>646.99790296817764</v>
      </c>
      <c r="F30" s="39">
        <f t="shared" si="1"/>
        <v>647</v>
      </c>
      <c r="G30" s="39">
        <f t="shared" si="2"/>
        <v>-5.6230000009236392E-3</v>
      </c>
      <c r="H30" s="39">
        <f t="shared" si="5"/>
        <v>-5.6230000009236392E-3</v>
      </c>
      <c r="O30" s="39">
        <f t="shared" ca="1" si="3"/>
        <v>-3.2753038463151474E-2</v>
      </c>
      <c r="Q30" s="67">
        <f t="shared" si="4"/>
        <v>12720.71</v>
      </c>
      <c r="U30" s="59"/>
    </row>
    <row r="31" spans="1:31" s="39" customFormat="1" ht="12.95" customHeight="1">
      <c r="A31" s="64" t="s">
        <v>51</v>
      </c>
      <c r="B31" s="65"/>
      <c r="C31" s="66">
        <v>42417.271000000001</v>
      </c>
      <c r="D31" s="66"/>
      <c r="E31" s="39">
        <f t="shared" si="0"/>
        <v>6121.0083952131135</v>
      </c>
      <c r="F31" s="39">
        <f t="shared" si="1"/>
        <v>6121</v>
      </c>
      <c r="O31" s="39">
        <f t="shared" ca="1" si="3"/>
        <v>-0.17856855619790271</v>
      </c>
      <c r="Q31" s="67">
        <f t="shared" si="4"/>
        <v>27398.771000000001</v>
      </c>
      <c r="U31" s="59">
        <v>2.2510999995574821E-2</v>
      </c>
      <c r="Z31" s="39" t="s">
        <v>48</v>
      </c>
      <c r="AA31" s="39">
        <v>9</v>
      </c>
      <c r="AC31" s="39" t="s">
        <v>52</v>
      </c>
      <c r="AE31" s="39" t="s">
        <v>53</v>
      </c>
    </row>
    <row r="32" spans="1:31" s="39" customFormat="1" ht="12.95" customHeight="1">
      <c r="A32" s="64" t="s">
        <v>54</v>
      </c>
      <c r="B32" s="65"/>
      <c r="C32" s="66">
        <v>46297.014000000003</v>
      </c>
      <c r="D32" s="66"/>
      <c r="E32" s="39">
        <f t="shared" si="0"/>
        <v>7567.9129890292761</v>
      </c>
      <c r="F32" s="39">
        <f t="shared" si="1"/>
        <v>7568</v>
      </c>
      <c r="G32" s="39">
        <f t="shared" ref="G32:G38" si="6">+C32-(C$7+F32*C$8)</f>
        <v>-0.23331199999665841</v>
      </c>
      <c r="N32" s="39">
        <f>+G32</f>
        <v>-0.23331199999665841</v>
      </c>
      <c r="O32" s="39">
        <f t="shared" ca="1" si="3"/>
        <v>-0.21711350580736291</v>
      </c>
      <c r="Q32" s="67">
        <f t="shared" si="4"/>
        <v>31278.514000000003</v>
      </c>
      <c r="U32" s="59"/>
    </row>
    <row r="33" spans="1:31" s="39" customFormat="1" ht="12.95" customHeight="1">
      <c r="A33" s="64" t="s">
        <v>55</v>
      </c>
      <c r="B33" s="65"/>
      <c r="C33" s="66">
        <v>47817.377999999997</v>
      </c>
      <c r="D33" s="66"/>
      <c r="E33" s="39">
        <f t="shared" si="0"/>
        <v>8134.9148898955718</v>
      </c>
      <c r="F33" s="39">
        <f t="shared" si="1"/>
        <v>8135</v>
      </c>
      <c r="G33" s="39">
        <f t="shared" si="6"/>
        <v>-0.22821500000281958</v>
      </c>
      <c r="I33" s="39">
        <f>G33</f>
        <v>-0.22821500000281958</v>
      </c>
      <c r="N33" s="39">
        <f>+G33</f>
        <v>-0.22821500000281958</v>
      </c>
      <c r="O33" s="39">
        <f t="shared" ca="1" si="3"/>
        <v>-0.23221715917886526</v>
      </c>
      <c r="Q33" s="67">
        <f t="shared" si="4"/>
        <v>32798.877999999997</v>
      </c>
      <c r="U33" s="59"/>
      <c r="Z33" s="39" t="s">
        <v>32</v>
      </c>
      <c r="AE33" s="39" t="s">
        <v>49</v>
      </c>
    </row>
    <row r="34" spans="1:31" s="39" customFormat="1" ht="12.95" customHeight="1">
      <c r="A34" s="64" t="s">
        <v>56</v>
      </c>
      <c r="B34" s="65"/>
      <c r="C34" s="66">
        <v>47817.377999999997</v>
      </c>
      <c r="D34" s="66"/>
      <c r="E34" s="39">
        <f t="shared" si="0"/>
        <v>8134.9148898955718</v>
      </c>
      <c r="F34" s="39">
        <f t="shared" si="1"/>
        <v>8135</v>
      </c>
      <c r="G34" s="39">
        <f t="shared" si="6"/>
        <v>-0.22821500000281958</v>
      </c>
      <c r="I34" s="39">
        <f>G34</f>
        <v>-0.22821500000281958</v>
      </c>
      <c r="N34" s="39">
        <f>+G34</f>
        <v>-0.22821500000281958</v>
      </c>
      <c r="O34" s="39">
        <f t="shared" ca="1" si="3"/>
        <v>-0.23221715917886526</v>
      </c>
      <c r="Q34" s="67">
        <f t="shared" si="4"/>
        <v>32798.877999999997</v>
      </c>
      <c r="U34" s="59"/>
    </row>
    <row r="35" spans="1:31" s="39" customFormat="1" ht="12.95" customHeight="1">
      <c r="A35" s="64" t="s">
        <v>57</v>
      </c>
      <c r="B35" s="65"/>
      <c r="C35" s="66">
        <v>49608.527999999998</v>
      </c>
      <c r="D35" s="66">
        <v>1.4E-2</v>
      </c>
      <c r="E35" s="39">
        <f t="shared" si="0"/>
        <v>8802.9032497466815</v>
      </c>
      <c r="F35" s="39">
        <f t="shared" si="1"/>
        <v>8803</v>
      </c>
      <c r="G35" s="39">
        <f t="shared" si="6"/>
        <v>-0.25942700000450714</v>
      </c>
      <c r="I35" s="39">
        <f>+G35</f>
        <v>-0.25942700000450714</v>
      </c>
      <c r="O35" s="39">
        <f t="shared" ca="1" si="3"/>
        <v>-0.25001123405040598</v>
      </c>
      <c r="Q35" s="67">
        <f t="shared" si="4"/>
        <v>34590.027999999998</v>
      </c>
      <c r="U35" s="59"/>
      <c r="Z35" s="39" t="s">
        <v>48</v>
      </c>
      <c r="AA35" s="39">
        <v>13</v>
      </c>
      <c r="AC35" s="39" t="s">
        <v>58</v>
      </c>
      <c r="AE35" s="39" t="s">
        <v>53</v>
      </c>
    </row>
    <row r="36" spans="1:31" s="39" customFormat="1" ht="12.95" customHeight="1">
      <c r="A36" s="64" t="s">
        <v>57</v>
      </c>
      <c r="B36" s="65"/>
      <c r="C36" s="66">
        <v>49635.364999999998</v>
      </c>
      <c r="D36" s="66">
        <v>1.6E-2</v>
      </c>
      <c r="E36" s="39">
        <f t="shared" si="0"/>
        <v>8812.9117937621595</v>
      </c>
      <c r="F36" s="39">
        <f t="shared" si="1"/>
        <v>8813</v>
      </c>
      <c r="G36" s="39">
        <f t="shared" si="6"/>
        <v>-0.23651700000482379</v>
      </c>
      <c r="I36" s="39">
        <f>+G36</f>
        <v>-0.23651700000482379</v>
      </c>
      <c r="O36" s="39">
        <f t="shared" ca="1" si="3"/>
        <v>-0.2502776124167464</v>
      </c>
      <c r="Q36" s="67">
        <f t="shared" si="4"/>
        <v>34616.864999999998</v>
      </c>
      <c r="U36" s="59"/>
      <c r="Z36" s="39" t="s">
        <v>48</v>
      </c>
      <c r="AA36" s="39">
        <v>16</v>
      </c>
      <c r="AC36" s="39" t="s">
        <v>58</v>
      </c>
      <c r="AE36" s="39" t="s">
        <v>53</v>
      </c>
    </row>
    <row r="37" spans="1:31" s="39" customFormat="1" ht="12.95" customHeight="1">
      <c r="A37" s="64" t="s">
        <v>59</v>
      </c>
      <c r="B37" s="65" t="s">
        <v>60</v>
      </c>
      <c r="C37" s="66">
        <v>51372.893400000001</v>
      </c>
      <c r="D37" s="66"/>
      <c r="E37" s="39">
        <f t="shared" si="0"/>
        <v>9460.9026075470028</v>
      </c>
      <c r="F37" s="39">
        <f t="shared" si="1"/>
        <v>9461</v>
      </c>
      <c r="G37" s="39">
        <f t="shared" si="6"/>
        <v>-0.26114899999811314</v>
      </c>
      <c r="J37" s="39">
        <f>G37</f>
        <v>-0.26114899999811314</v>
      </c>
      <c r="N37" s="39">
        <f>+G37</f>
        <v>-0.26114899999811314</v>
      </c>
      <c r="O37" s="39">
        <f t="shared" ca="1" si="3"/>
        <v>-0.26753893055560624</v>
      </c>
      <c r="Q37" s="67">
        <f t="shared" si="4"/>
        <v>36354.393400000001</v>
      </c>
      <c r="U37" s="59"/>
    </row>
    <row r="38" spans="1:31" s="39" customFormat="1" ht="12.95" customHeight="1">
      <c r="A38" s="64" t="s">
        <v>59</v>
      </c>
      <c r="B38" s="65" t="s">
        <v>61</v>
      </c>
      <c r="C38" s="66">
        <v>51374.221400000002</v>
      </c>
      <c r="D38" s="66"/>
      <c r="E38" s="39">
        <f t="shared" si="0"/>
        <v>9461.3978695529113</v>
      </c>
      <c r="F38" s="39">
        <f t="shared" si="1"/>
        <v>9461.5</v>
      </c>
      <c r="G38" s="39">
        <f t="shared" si="6"/>
        <v>-0.27385350000258768</v>
      </c>
      <c r="J38" s="39">
        <f>G38</f>
        <v>-0.27385350000258768</v>
      </c>
      <c r="N38" s="39">
        <f>+G38</f>
        <v>-0.27385350000258768</v>
      </c>
      <c r="O38" s="39">
        <f t="shared" ca="1" si="3"/>
        <v>-0.26755224947392325</v>
      </c>
      <c r="Q38" s="67">
        <f t="shared" si="4"/>
        <v>36355.721400000002</v>
      </c>
      <c r="U38" s="59"/>
    </row>
    <row r="39" spans="1:31">
      <c r="A39" s="5" t="s">
        <v>62</v>
      </c>
      <c r="B39" s="6"/>
      <c r="C39" s="7">
        <v>51519.292999999998</v>
      </c>
      <c r="D39" s="7"/>
      <c r="E39" s="1">
        <f t="shared" si="0"/>
        <v>9515.5006192639758</v>
      </c>
      <c r="F39" s="1">
        <f t="shared" si="1"/>
        <v>9515.5</v>
      </c>
      <c r="J39" s="1">
        <f>G39</f>
        <v>0</v>
      </c>
      <c r="O39" s="1">
        <f t="shared" ca="1" si="3"/>
        <v>-0.26899069265216158</v>
      </c>
      <c r="Q39" s="38">
        <f t="shared" si="4"/>
        <v>36500.792999999998</v>
      </c>
      <c r="U39" s="4">
        <v>1.6604999982519075E-3</v>
      </c>
    </row>
    <row r="40" spans="1:31">
      <c r="A40" s="5" t="s">
        <v>63</v>
      </c>
      <c r="B40" s="6"/>
      <c r="C40" s="7">
        <v>51547.245000000003</v>
      </c>
      <c r="D40" s="7"/>
      <c r="E40" s="1">
        <f t="shared" si="0"/>
        <v>9525.9249894365239</v>
      </c>
      <c r="F40" s="1">
        <f t="shared" si="1"/>
        <v>9526</v>
      </c>
      <c r="O40" s="1">
        <f t="shared" ca="1" si="3"/>
        <v>-0.26927038993681907</v>
      </c>
      <c r="Q40" s="38">
        <f t="shared" si="4"/>
        <v>36528.745000000003</v>
      </c>
      <c r="U40" s="4">
        <f>+C40-(C$7+F40*C$8)</f>
        <v>-0.20113399999536341</v>
      </c>
    </row>
    <row r="41" spans="1:31">
      <c r="A41" s="8" t="s">
        <v>64</v>
      </c>
      <c r="B41" s="9"/>
      <c r="C41" s="10">
        <v>52150.47</v>
      </c>
      <c r="D41" s="10"/>
      <c r="E41" s="1">
        <f t="shared" si="0"/>
        <v>9750.8906697933817</v>
      </c>
      <c r="F41" s="1">
        <f t="shared" si="1"/>
        <v>9751</v>
      </c>
      <c r="G41" s="1">
        <f t="shared" ref="G41:G48" si="7">+C41-(C$7+F41*C$8)</f>
        <v>-0.2931590000007418</v>
      </c>
      <c r="K41" s="1">
        <f t="shared" ref="K41:K47" si="8">+G41</f>
        <v>-0.2931590000007418</v>
      </c>
      <c r="N41" s="1">
        <f>+G41</f>
        <v>-0.2931590000007418</v>
      </c>
      <c r="O41" s="1">
        <f t="shared" ca="1" si="3"/>
        <v>-0.27526390317947874</v>
      </c>
      <c r="Q41" s="38">
        <f t="shared" si="4"/>
        <v>37131.97</v>
      </c>
      <c r="U41" s="4"/>
    </row>
    <row r="42" spans="1:31">
      <c r="A42" s="11" t="s">
        <v>65</v>
      </c>
      <c r="B42" s="9" t="s">
        <v>60</v>
      </c>
      <c r="C42" s="10">
        <v>53257.895700000001</v>
      </c>
      <c r="D42" s="10">
        <v>2.0000000000000001E-4</v>
      </c>
      <c r="E42" s="1">
        <f t="shared" si="0"/>
        <v>10163.892080618809</v>
      </c>
      <c r="F42" s="1">
        <f t="shared" si="1"/>
        <v>10164</v>
      </c>
      <c r="G42" s="1">
        <f t="shared" si="7"/>
        <v>-0.28937600000062957</v>
      </c>
      <c r="K42" s="1">
        <f t="shared" si="8"/>
        <v>-0.28937600000062957</v>
      </c>
      <c r="O42" s="1">
        <f t="shared" ca="1" si="3"/>
        <v>-0.28626532970933849</v>
      </c>
      <c r="Q42" s="38">
        <f t="shared" si="4"/>
        <v>38239.395700000001</v>
      </c>
      <c r="U42" s="4"/>
    </row>
    <row r="43" spans="1:31">
      <c r="A43" s="12" t="s">
        <v>66</v>
      </c>
      <c r="B43" s="13" t="s">
        <v>60</v>
      </c>
      <c r="C43" s="12">
        <v>54019.409</v>
      </c>
      <c r="D43" s="12">
        <v>2.2000000000000001E-3</v>
      </c>
      <c r="E43" s="1">
        <f t="shared" si="0"/>
        <v>10447.889523754116</v>
      </c>
      <c r="F43" s="1">
        <f t="shared" si="1"/>
        <v>10448</v>
      </c>
      <c r="G43" s="1">
        <f t="shared" si="7"/>
        <v>-0.29623200000060024</v>
      </c>
      <c r="J43" s="1">
        <f>+G43</f>
        <v>-0.29623200000060024</v>
      </c>
      <c r="O43" s="1">
        <f t="shared" ca="1" si="3"/>
        <v>-0.29383047531340667</v>
      </c>
      <c r="Q43" s="38">
        <f t="shared" si="4"/>
        <v>39000.909</v>
      </c>
      <c r="U43" s="4"/>
    </row>
    <row r="44" spans="1:31">
      <c r="A44" s="14" t="s">
        <v>67</v>
      </c>
      <c r="B44" s="15" t="s">
        <v>60</v>
      </c>
      <c r="C44" s="14">
        <v>55124.140800000001</v>
      </c>
      <c r="D44" s="8"/>
      <c r="E44" s="1">
        <f t="shared" si="0"/>
        <v>10859.88627620777</v>
      </c>
      <c r="F44" s="1">
        <f t="shared" si="1"/>
        <v>10860</v>
      </c>
      <c r="G44" s="1">
        <f t="shared" si="7"/>
        <v>-0.30493999999453081</v>
      </c>
      <c r="K44" s="1">
        <f t="shared" si="8"/>
        <v>-0.30493999999453081</v>
      </c>
      <c r="O44" s="1">
        <f t="shared" ca="1" si="3"/>
        <v>-0.30480526400663238</v>
      </c>
      <c r="Q44" s="38">
        <f t="shared" si="4"/>
        <v>40105.640800000001</v>
      </c>
      <c r="U44" s="4"/>
    </row>
    <row r="45" spans="1:31">
      <c r="A45" s="14" t="s">
        <v>68</v>
      </c>
      <c r="B45" s="15" t="s">
        <v>60</v>
      </c>
      <c r="C45" s="14">
        <v>55888.335500000001</v>
      </c>
      <c r="E45" s="1">
        <f t="shared" si="0"/>
        <v>11144.883715986633</v>
      </c>
      <c r="F45" s="1">
        <f t="shared" si="1"/>
        <v>11145</v>
      </c>
      <c r="G45" s="1">
        <f t="shared" si="7"/>
        <v>-0.31180499999754829</v>
      </c>
      <c r="K45" s="1">
        <f t="shared" si="8"/>
        <v>-0.31180499999754829</v>
      </c>
      <c r="O45" s="1">
        <f t="shared" ca="1" si="3"/>
        <v>-0.31239704744733465</v>
      </c>
      <c r="Q45" s="38">
        <f t="shared" si="4"/>
        <v>40869.835500000001</v>
      </c>
      <c r="U45" s="4"/>
    </row>
    <row r="46" spans="1:31">
      <c r="A46" s="16" t="s">
        <v>69</v>
      </c>
      <c r="B46" s="17" t="s">
        <v>60</v>
      </c>
      <c r="C46" s="16">
        <v>55893.696799999998</v>
      </c>
      <c r="D46" s="16">
        <v>4.0000000000000002E-4</v>
      </c>
      <c r="E46" s="1">
        <f t="shared" si="0"/>
        <v>11146.883149866357</v>
      </c>
      <c r="F46" s="1">
        <f t="shared" si="1"/>
        <v>11147</v>
      </c>
      <c r="G46" s="1">
        <f t="shared" si="7"/>
        <v>-0.31332300000212854</v>
      </c>
      <c r="K46" s="1">
        <f t="shared" si="8"/>
        <v>-0.31332300000212854</v>
      </c>
      <c r="O46" s="1">
        <f t="shared" ca="1" si="3"/>
        <v>-0.31245032312060272</v>
      </c>
      <c r="Q46" s="38">
        <f t="shared" si="4"/>
        <v>40875.196799999998</v>
      </c>
      <c r="U46" s="4"/>
    </row>
    <row r="47" spans="1:31">
      <c r="A47" s="18" t="s">
        <v>70</v>
      </c>
      <c r="B47" s="19" t="s">
        <v>60</v>
      </c>
      <c r="C47" s="20">
        <v>56569.407749999998</v>
      </c>
      <c r="D47" s="18">
        <v>5.0000000000000001E-4</v>
      </c>
      <c r="E47" s="1">
        <f t="shared" si="0"/>
        <v>11398.881614106613</v>
      </c>
      <c r="F47" s="1">
        <f t="shared" si="1"/>
        <v>11399</v>
      </c>
      <c r="G47" s="1">
        <f t="shared" si="7"/>
        <v>-0.31744100000651088</v>
      </c>
      <c r="K47" s="1">
        <f t="shared" si="8"/>
        <v>-0.31744100000651088</v>
      </c>
      <c r="O47" s="1">
        <f t="shared" ca="1" si="3"/>
        <v>-0.31916305795238153</v>
      </c>
      <c r="Q47" s="38">
        <f t="shared" si="4"/>
        <v>41550.907749999998</v>
      </c>
      <c r="U47" s="4"/>
    </row>
    <row r="48" spans="1:31">
      <c r="A48" s="21" t="s">
        <v>71</v>
      </c>
      <c r="B48" s="19"/>
      <c r="C48" s="21">
        <v>56943.466699999997</v>
      </c>
      <c r="D48" s="21">
        <v>2.0799999999999999E-2</v>
      </c>
      <c r="E48" s="1">
        <f t="shared" si="0"/>
        <v>11538.38250710727</v>
      </c>
      <c r="F48" s="1">
        <f t="shared" si="1"/>
        <v>11538.5</v>
      </c>
      <c r="G48" s="1">
        <f t="shared" si="7"/>
        <v>-0.31504649999988033</v>
      </c>
      <c r="J48" s="1">
        <f>+G48</f>
        <v>-0.31504649999988033</v>
      </c>
      <c r="O48" s="1">
        <f t="shared" ca="1" si="3"/>
        <v>-0.32287903616283053</v>
      </c>
      <c r="Q48" s="38">
        <f t="shared" si="4"/>
        <v>41924.966699999997</v>
      </c>
      <c r="U48" s="4"/>
    </row>
    <row r="49" spans="1:21">
      <c r="A49" s="22" t="s">
        <v>72</v>
      </c>
      <c r="B49" s="23" t="s">
        <v>60</v>
      </c>
      <c r="C49" s="24">
        <v>57364.438300000002</v>
      </c>
      <c r="D49" s="68">
        <v>1.3599999999999999E-2</v>
      </c>
      <c r="E49" s="1">
        <f>+(C49-C$7)/C$8</f>
        <v>11695.378922051803</v>
      </c>
      <c r="F49" s="1">
        <f t="shared" si="1"/>
        <v>11695.5</v>
      </c>
      <c r="G49" s="1">
        <f>+C49-(C$7+F49*C$8)</f>
        <v>-0.32465950000187149</v>
      </c>
      <c r="K49" s="1">
        <f>+G49</f>
        <v>-0.32465950000187149</v>
      </c>
      <c r="O49" s="1">
        <f ca="1">+C$11+C$12*$F49</f>
        <v>-0.32706117651437527</v>
      </c>
      <c r="Q49" s="38">
        <f>+C49-15018.5</f>
        <v>42345.938300000002</v>
      </c>
      <c r="U49" s="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0" workbookViewId="0">
      <selection activeCell="A32" sqref="A32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26" t="s">
        <v>73</v>
      </c>
      <c r="I1" s="27" t="s">
        <v>74</v>
      </c>
      <c r="J1" s="28" t="s">
        <v>35</v>
      </c>
    </row>
    <row r="2" spans="1:16">
      <c r="I2" s="29" t="s">
        <v>75</v>
      </c>
      <c r="J2" s="30" t="s">
        <v>34</v>
      </c>
    </row>
    <row r="3" spans="1:16">
      <c r="A3" s="31" t="s">
        <v>76</v>
      </c>
      <c r="I3" s="29" t="s">
        <v>77</v>
      </c>
      <c r="J3" s="30" t="s">
        <v>32</v>
      </c>
    </row>
    <row r="4" spans="1:16">
      <c r="I4" s="29" t="s">
        <v>78</v>
      </c>
      <c r="J4" s="30" t="s">
        <v>32</v>
      </c>
    </row>
    <row r="5" spans="1:16">
      <c r="I5" s="32" t="s">
        <v>79</v>
      </c>
      <c r="J5" s="33" t="s">
        <v>33</v>
      </c>
    </row>
    <row r="11" spans="1:16" ht="12.75" customHeight="1">
      <c r="A11" s="25" t="str">
        <f t="shared" ref="A11:A33" si="0">P11</f>
        <v> PZ 4.159 </v>
      </c>
      <c r="B11" s="3" t="str">
        <f t="shared" ref="B11:B33" si="1">IF(H11=INT(H11),"I","II")</f>
        <v>I</v>
      </c>
      <c r="C11" s="25">
        <f t="shared" ref="C11:C33" si="2">1*G11</f>
        <v>21518.35</v>
      </c>
      <c r="D11" t="str">
        <f t="shared" ref="D11:D33" si="3">VLOOKUP(F11,I$1:J$5,2,FALSE)</f>
        <v>vis</v>
      </c>
      <c r="E11">
        <f>VLOOKUP(C11,Active!C$21:E$973,3,FALSE)</f>
        <v>-1672.9987853400964</v>
      </c>
      <c r="F11" s="3" t="s">
        <v>79</v>
      </c>
      <c r="G11" t="str">
        <f t="shared" ref="G11:G33" si="4">MID(I11,3,LEN(I11)-3)</f>
        <v>21518.35</v>
      </c>
      <c r="H11" s="25">
        <f t="shared" ref="H11:H33" si="5">1*K11</f>
        <v>-1673</v>
      </c>
      <c r="I11" s="34" t="s">
        <v>80</v>
      </c>
      <c r="J11" s="35" t="s">
        <v>81</v>
      </c>
      <c r="K11" s="34">
        <v>-1673</v>
      </c>
      <c r="L11" s="34" t="s">
        <v>82</v>
      </c>
      <c r="M11" s="35" t="s">
        <v>83</v>
      </c>
      <c r="N11" s="35"/>
      <c r="O11" s="36" t="s">
        <v>84</v>
      </c>
      <c r="P11" s="36" t="s">
        <v>85</v>
      </c>
    </row>
    <row r="12" spans="1:16" ht="12.75" customHeight="1">
      <c r="A12" s="25" t="str">
        <f t="shared" si="0"/>
        <v> PZ 4.159 </v>
      </c>
      <c r="B12" s="3" t="str">
        <f t="shared" si="1"/>
        <v>I</v>
      </c>
      <c r="C12" s="25">
        <f t="shared" si="2"/>
        <v>23698.35</v>
      </c>
      <c r="D12" t="str">
        <f t="shared" si="3"/>
        <v>vis</v>
      </c>
      <c r="E12">
        <f>VLOOKUP(C12,Active!C$21:E$973,3,FALSE)</f>
        <v>-859.99338407531354</v>
      </c>
      <c r="F12" s="3" t="s">
        <v>79</v>
      </c>
      <c r="G12" t="str">
        <f t="shared" si="4"/>
        <v>23698.35</v>
      </c>
      <c r="H12" s="25">
        <f t="shared" si="5"/>
        <v>-860</v>
      </c>
      <c r="I12" s="34" t="s">
        <v>86</v>
      </c>
      <c r="J12" s="35" t="s">
        <v>87</v>
      </c>
      <c r="K12" s="34">
        <v>-860</v>
      </c>
      <c r="L12" s="34" t="s">
        <v>88</v>
      </c>
      <c r="M12" s="35" t="s">
        <v>83</v>
      </c>
      <c r="N12" s="35"/>
      <c r="O12" s="36" t="s">
        <v>84</v>
      </c>
      <c r="P12" s="36" t="s">
        <v>85</v>
      </c>
    </row>
    <row r="13" spans="1:16" ht="12.75" customHeight="1">
      <c r="A13" s="25" t="str">
        <f t="shared" si="0"/>
        <v> PZ 4.159 </v>
      </c>
      <c r="B13" s="3" t="str">
        <f t="shared" si="1"/>
        <v>I</v>
      </c>
      <c r="C13" s="25">
        <f t="shared" si="2"/>
        <v>25151.57</v>
      </c>
      <c r="D13" t="str">
        <f t="shared" si="3"/>
        <v>vis</v>
      </c>
      <c r="E13">
        <f>VLOOKUP(C13,Active!C$21:E$973,3,FALSE)</f>
        <v>-318.03204956797015</v>
      </c>
      <c r="F13" s="3" t="s">
        <v>79</v>
      </c>
      <c r="G13" t="str">
        <f t="shared" si="4"/>
        <v>25151.57</v>
      </c>
      <c r="H13" s="25">
        <f t="shared" si="5"/>
        <v>-318</v>
      </c>
      <c r="I13" s="34" t="s">
        <v>89</v>
      </c>
      <c r="J13" s="35" t="s">
        <v>90</v>
      </c>
      <c r="K13" s="34">
        <v>-318</v>
      </c>
      <c r="L13" s="34" t="s">
        <v>91</v>
      </c>
      <c r="M13" s="35" t="s">
        <v>83</v>
      </c>
      <c r="N13" s="35"/>
      <c r="O13" s="36" t="s">
        <v>84</v>
      </c>
      <c r="P13" s="36" t="s">
        <v>85</v>
      </c>
    </row>
    <row r="14" spans="1:16" ht="12.75" customHeight="1">
      <c r="A14" s="25" t="str">
        <f t="shared" si="0"/>
        <v> AN 255.179 </v>
      </c>
      <c r="B14" s="3" t="str">
        <f t="shared" si="1"/>
        <v>I</v>
      </c>
      <c r="C14" s="25">
        <f t="shared" si="2"/>
        <v>26004.344000000001</v>
      </c>
      <c r="D14" t="str">
        <f t="shared" si="3"/>
        <v>vis</v>
      </c>
      <c r="E14">
        <f>VLOOKUP(C14,Active!C$21:E$973,3,FALSE)</f>
        <v>0</v>
      </c>
      <c r="F14" s="3" t="s">
        <v>79</v>
      </c>
      <c r="G14" t="str">
        <f t="shared" si="4"/>
        <v>26004.344</v>
      </c>
      <c r="H14" s="25">
        <f t="shared" si="5"/>
        <v>0</v>
      </c>
      <c r="I14" s="34" t="s">
        <v>92</v>
      </c>
      <c r="J14" s="35" t="s">
        <v>93</v>
      </c>
      <c r="K14" s="34">
        <v>0</v>
      </c>
      <c r="L14" s="34" t="s">
        <v>94</v>
      </c>
      <c r="M14" s="35" t="s">
        <v>95</v>
      </c>
      <c r="N14" s="35"/>
      <c r="O14" s="36" t="s">
        <v>96</v>
      </c>
      <c r="P14" s="36" t="s">
        <v>97</v>
      </c>
    </row>
    <row r="15" spans="1:16" ht="12.75" customHeight="1">
      <c r="A15" s="25" t="str">
        <f t="shared" si="0"/>
        <v> AN 255.179 </v>
      </c>
      <c r="B15" s="3" t="str">
        <f t="shared" si="1"/>
        <v>I</v>
      </c>
      <c r="C15" s="25">
        <f t="shared" si="2"/>
        <v>26580.841</v>
      </c>
      <c r="D15" t="str">
        <f t="shared" si="3"/>
        <v>vis</v>
      </c>
      <c r="E15">
        <f>VLOOKUP(C15,Active!C$21:E$973,3,FALSE)</f>
        <v>214.99778661144174</v>
      </c>
      <c r="F15" s="3" t="s">
        <v>79</v>
      </c>
      <c r="G15" t="str">
        <f t="shared" si="4"/>
        <v>26580.841</v>
      </c>
      <c r="H15" s="25">
        <f t="shared" si="5"/>
        <v>215</v>
      </c>
      <c r="I15" s="34" t="s">
        <v>98</v>
      </c>
      <c r="J15" s="35" t="s">
        <v>99</v>
      </c>
      <c r="K15" s="34">
        <v>215</v>
      </c>
      <c r="L15" s="34" t="s">
        <v>100</v>
      </c>
      <c r="M15" s="35" t="s">
        <v>95</v>
      </c>
      <c r="N15" s="35"/>
      <c r="O15" s="36" t="s">
        <v>96</v>
      </c>
      <c r="P15" s="36" t="s">
        <v>97</v>
      </c>
    </row>
    <row r="16" spans="1:16" ht="12.75" customHeight="1">
      <c r="A16" s="25" t="str">
        <f t="shared" si="0"/>
        <v> AA 27.161 </v>
      </c>
      <c r="B16" s="3" t="str">
        <f t="shared" si="1"/>
        <v>I</v>
      </c>
      <c r="C16" s="25">
        <f t="shared" si="2"/>
        <v>26618.327000000001</v>
      </c>
      <c r="D16" t="str">
        <f t="shared" si="3"/>
        <v>vis</v>
      </c>
      <c r="E16">
        <f>VLOOKUP(C16,Active!C$21:E$973,3,FALSE)</f>
        <v>228.9777501306217</v>
      </c>
      <c r="F16" s="3" t="s">
        <v>79</v>
      </c>
      <c r="G16" t="str">
        <f t="shared" si="4"/>
        <v>26618.327</v>
      </c>
      <c r="H16" s="25">
        <f t="shared" si="5"/>
        <v>229</v>
      </c>
      <c r="I16" s="34" t="s">
        <v>101</v>
      </c>
      <c r="J16" s="35" t="s">
        <v>102</v>
      </c>
      <c r="K16" s="34">
        <v>229</v>
      </c>
      <c r="L16" s="34" t="s">
        <v>103</v>
      </c>
      <c r="M16" s="35" t="s">
        <v>104</v>
      </c>
      <c r="N16" s="35"/>
      <c r="O16" s="36" t="s">
        <v>105</v>
      </c>
      <c r="P16" s="36" t="s">
        <v>106</v>
      </c>
    </row>
    <row r="17" spans="1:16" ht="12.75" customHeight="1">
      <c r="A17" s="25" t="str">
        <f t="shared" si="0"/>
        <v> AN 255.179 </v>
      </c>
      <c r="B17" s="3" t="str">
        <f t="shared" si="1"/>
        <v>I</v>
      </c>
      <c r="C17" s="25">
        <f t="shared" si="2"/>
        <v>26945.526999999998</v>
      </c>
      <c r="D17" t="str">
        <f t="shared" si="3"/>
        <v>vis</v>
      </c>
      <c r="E17">
        <f>VLOOKUP(C17,Active!C$21:E$973,3,FALSE)</f>
        <v>351.00314797183023</v>
      </c>
      <c r="F17" s="3" t="s">
        <v>79</v>
      </c>
      <c r="G17" t="str">
        <f t="shared" si="4"/>
        <v>26945.527</v>
      </c>
      <c r="H17" s="25">
        <f t="shared" si="5"/>
        <v>351</v>
      </c>
      <c r="I17" s="34" t="s">
        <v>107</v>
      </c>
      <c r="J17" s="35" t="s">
        <v>108</v>
      </c>
      <c r="K17" s="34">
        <v>351</v>
      </c>
      <c r="L17" s="34" t="s">
        <v>109</v>
      </c>
      <c r="M17" s="35" t="s">
        <v>95</v>
      </c>
      <c r="N17" s="35"/>
      <c r="O17" s="36" t="s">
        <v>96</v>
      </c>
      <c r="P17" s="36" t="s">
        <v>97</v>
      </c>
    </row>
    <row r="18" spans="1:16" ht="12.75" customHeight="1">
      <c r="A18" s="25" t="str">
        <f t="shared" si="0"/>
        <v> AN 255.179 </v>
      </c>
      <c r="B18" s="3" t="str">
        <f t="shared" si="1"/>
        <v>I</v>
      </c>
      <c r="C18" s="25">
        <f t="shared" si="2"/>
        <v>27385.27</v>
      </c>
      <c r="D18" t="str">
        <f t="shared" si="3"/>
        <v>vis</v>
      </c>
      <c r="E18">
        <f>VLOOKUP(C18,Active!C$21:E$973,3,FALSE)</f>
        <v>515.0001361224638</v>
      </c>
      <c r="F18" s="3" t="s">
        <v>79</v>
      </c>
      <c r="G18" t="str">
        <f t="shared" si="4"/>
        <v>27385.270</v>
      </c>
      <c r="H18" s="25">
        <f t="shared" si="5"/>
        <v>515</v>
      </c>
      <c r="I18" s="34" t="s">
        <v>110</v>
      </c>
      <c r="J18" s="35" t="s">
        <v>111</v>
      </c>
      <c r="K18" s="34">
        <v>515</v>
      </c>
      <c r="L18" s="34" t="s">
        <v>94</v>
      </c>
      <c r="M18" s="35" t="s">
        <v>95</v>
      </c>
      <c r="N18" s="35"/>
      <c r="O18" s="36" t="s">
        <v>96</v>
      </c>
      <c r="P18" s="36" t="s">
        <v>97</v>
      </c>
    </row>
    <row r="19" spans="1:16" ht="12.75" customHeight="1">
      <c r="A19" s="25" t="str">
        <f t="shared" si="0"/>
        <v> AA 27.161 </v>
      </c>
      <c r="B19" s="3" t="str">
        <f t="shared" si="1"/>
        <v>I</v>
      </c>
      <c r="C19" s="25">
        <f t="shared" si="2"/>
        <v>27739.21</v>
      </c>
      <c r="D19" t="str">
        <f t="shared" si="3"/>
        <v>vis</v>
      </c>
      <c r="E19">
        <f>VLOOKUP(C19,Active!C$21:E$973,3,FALSE)</f>
        <v>646.99790296817764</v>
      </c>
      <c r="F19" s="3" t="s">
        <v>79</v>
      </c>
      <c r="G19" t="str">
        <f t="shared" si="4"/>
        <v>27739.210</v>
      </c>
      <c r="H19" s="25">
        <f t="shared" si="5"/>
        <v>647</v>
      </c>
      <c r="I19" s="34" t="s">
        <v>112</v>
      </c>
      <c r="J19" s="35" t="s">
        <v>113</v>
      </c>
      <c r="K19" s="34">
        <v>647</v>
      </c>
      <c r="L19" s="34" t="s">
        <v>100</v>
      </c>
      <c r="M19" s="35" t="s">
        <v>104</v>
      </c>
      <c r="N19" s="35"/>
      <c r="O19" s="36" t="s">
        <v>114</v>
      </c>
      <c r="P19" s="36" t="s">
        <v>106</v>
      </c>
    </row>
    <row r="20" spans="1:16" ht="12.75" customHeight="1">
      <c r="A20" s="25" t="str">
        <f t="shared" si="0"/>
        <v> BBS 20 </v>
      </c>
      <c r="B20" s="3" t="str">
        <f t="shared" si="1"/>
        <v>I</v>
      </c>
      <c r="C20" s="25">
        <f t="shared" si="2"/>
        <v>42417.271000000001</v>
      </c>
      <c r="D20" t="str">
        <f t="shared" si="3"/>
        <v>vis</v>
      </c>
      <c r="E20">
        <f>VLOOKUP(C20,Active!C$21:E$973,3,FALSE)</f>
        <v>6121.0083952131135</v>
      </c>
      <c r="F20" s="3" t="s">
        <v>79</v>
      </c>
      <c r="G20" t="str">
        <f t="shared" si="4"/>
        <v>42417.271</v>
      </c>
      <c r="H20" s="25">
        <f t="shared" si="5"/>
        <v>6121</v>
      </c>
      <c r="I20" s="34" t="s">
        <v>115</v>
      </c>
      <c r="J20" s="35" t="s">
        <v>116</v>
      </c>
      <c r="K20" s="34">
        <v>6121</v>
      </c>
      <c r="L20" s="34" t="s">
        <v>117</v>
      </c>
      <c r="M20" s="35" t="s">
        <v>104</v>
      </c>
      <c r="N20" s="35"/>
      <c r="O20" s="36" t="s">
        <v>118</v>
      </c>
      <c r="P20" s="36" t="s">
        <v>119</v>
      </c>
    </row>
    <row r="21" spans="1:16" ht="12.75" customHeight="1">
      <c r="A21" s="25" t="str">
        <f t="shared" si="0"/>
        <v> VSSC 68.34 </v>
      </c>
      <c r="B21" s="3" t="str">
        <f t="shared" si="1"/>
        <v>I</v>
      </c>
      <c r="C21" s="25">
        <f t="shared" si="2"/>
        <v>46297.014000000003</v>
      </c>
      <c r="D21" t="str">
        <f t="shared" si="3"/>
        <v>vis</v>
      </c>
      <c r="E21">
        <f>VLOOKUP(C21,Active!C$21:E$973,3,FALSE)</f>
        <v>7567.9129890292761</v>
      </c>
      <c r="F21" s="3" t="s">
        <v>79</v>
      </c>
      <c r="G21" t="str">
        <f t="shared" si="4"/>
        <v>46297.014</v>
      </c>
      <c r="H21" s="25">
        <f t="shared" si="5"/>
        <v>7568</v>
      </c>
      <c r="I21" s="34" t="s">
        <v>120</v>
      </c>
      <c r="J21" s="35" t="s">
        <v>121</v>
      </c>
      <c r="K21" s="34">
        <v>7568</v>
      </c>
      <c r="L21" s="34" t="s">
        <v>122</v>
      </c>
      <c r="M21" s="35" t="s">
        <v>104</v>
      </c>
      <c r="N21" s="35"/>
      <c r="O21" s="36" t="s">
        <v>123</v>
      </c>
      <c r="P21" s="36" t="s">
        <v>124</v>
      </c>
    </row>
    <row r="22" spans="1:16" ht="12.75" customHeight="1">
      <c r="A22" s="25" t="str">
        <f t="shared" si="0"/>
        <v>BAVM 56 </v>
      </c>
      <c r="B22" s="3" t="str">
        <f t="shared" si="1"/>
        <v>I</v>
      </c>
      <c r="C22" s="25">
        <f t="shared" si="2"/>
        <v>47817.377999999997</v>
      </c>
      <c r="D22" t="str">
        <f t="shared" si="3"/>
        <v>vis</v>
      </c>
      <c r="E22">
        <f>VLOOKUP(C22,Active!C$21:E$973,3,FALSE)</f>
        <v>8134.9148898955718</v>
      </c>
      <c r="F22" s="3" t="s">
        <v>79</v>
      </c>
      <c r="G22" t="str">
        <f t="shared" si="4"/>
        <v>47817.378</v>
      </c>
      <c r="H22" s="25">
        <f t="shared" si="5"/>
        <v>8135</v>
      </c>
      <c r="I22" s="34" t="s">
        <v>125</v>
      </c>
      <c r="J22" s="35" t="s">
        <v>126</v>
      </c>
      <c r="K22" s="34">
        <v>8135</v>
      </c>
      <c r="L22" s="34" t="s">
        <v>127</v>
      </c>
      <c r="M22" s="35" t="s">
        <v>95</v>
      </c>
      <c r="N22" s="35"/>
      <c r="O22" s="36" t="s">
        <v>128</v>
      </c>
      <c r="P22" s="37" t="s">
        <v>129</v>
      </c>
    </row>
    <row r="23" spans="1:16" ht="12.75" customHeight="1">
      <c r="A23" s="25" t="str">
        <f t="shared" si="0"/>
        <v> BBS 108 </v>
      </c>
      <c r="B23" s="3" t="str">
        <f t="shared" si="1"/>
        <v>I</v>
      </c>
      <c r="C23" s="25">
        <f t="shared" si="2"/>
        <v>49608.527999999998</v>
      </c>
      <c r="D23" t="str">
        <f t="shared" si="3"/>
        <v>vis</v>
      </c>
      <c r="E23">
        <f>VLOOKUP(C23,Active!C$21:E$973,3,FALSE)</f>
        <v>8802.9032497466815</v>
      </c>
      <c r="F23" s="3" t="s">
        <v>79</v>
      </c>
      <c r="G23" t="str">
        <f t="shared" si="4"/>
        <v>49608.528</v>
      </c>
      <c r="H23" s="25">
        <f t="shared" si="5"/>
        <v>8803</v>
      </c>
      <c r="I23" s="34" t="s">
        <v>130</v>
      </c>
      <c r="J23" s="35" t="s">
        <v>131</v>
      </c>
      <c r="K23" s="34">
        <v>8803</v>
      </c>
      <c r="L23" s="34" t="s">
        <v>132</v>
      </c>
      <c r="M23" s="35" t="s">
        <v>104</v>
      </c>
      <c r="N23" s="35"/>
      <c r="O23" s="36" t="s">
        <v>133</v>
      </c>
      <c r="P23" s="36" t="s">
        <v>134</v>
      </c>
    </row>
    <row r="24" spans="1:16" ht="12.75" customHeight="1">
      <c r="A24" s="25" t="str">
        <f t="shared" si="0"/>
        <v> BBS 108 </v>
      </c>
      <c r="B24" s="3" t="str">
        <f t="shared" si="1"/>
        <v>I</v>
      </c>
      <c r="C24" s="25">
        <f t="shared" si="2"/>
        <v>49635.364999999998</v>
      </c>
      <c r="D24" t="str">
        <f t="shared" si="3"/>
        <v>vis</v>
      </c>
      <c r="E24">
        <f>VLOOKUP(C24,Active!C$21:E$973,3,FALSE)</f>
        <v>8812.9117937621595</v>
      </c>
      <c r="F24" s="3" t="s">
        <v>79</v>
      </c>
      <c r="G24" t="str">
        <f t="shared" si="4"/>
        <v>49635.365</v>
      </c>
      <c r="H24" s="25">
        <f t="shared" si="5"/>
        <v>8813</v>
      </c>
      <c r="I24" s="34" t="s">
        <v>135</v>
      </c>
      <c r="J24" s="35" t="s">
        <v>136</v>
      </c>
      <c r="K24" s="34">
        <v>8813</v>
      </c>
      <c r="L24" s="34" t="s">
        <v>137</v>
      </c>
      <c r="M24" s="35" t="s">
        <v>104</v>
      </c>
      <c r="N24" s="35"/>
      <c r="O24" s="36" t="s">
        <v>133</v>
      </c>
      <c r="P24" s="36" t="s">
        <v>134</v>
      </c>
    </row>
    <row r="25" spans="1:16" ht="12.75" customHeight="1">
      <c r="A25" s="25" t="str">
        <f t="shared" si="0"/>
        <v> BBS 121 </v>
      </c>
      <c r="B25" s="3" t="str">
        <f t="shared" si="1"/>
        <v>II</v>
      </c>
      <c r="C25" s="25">
        <f t="shared" si="2"/>
        <v>51519.292999999998</v>
      </c>
      <c r="D25" t="str">
        <f t="shared" si="3"/>
        <v>vis</v>
      </c>
      <c r="E25">
        <f>VLOOKUP(C25,Active!C$21:E$973,3,FALSE)</f>
        <v>9515.5006192639758</v>
      </c>
      <c r="F25" s="3" t="s">
        <v>79</v>
      </c>
      <c r="G25" t="str">
        <f t="shared" si="4"/>
        <v>51519.293</v>
      </c>
      <c r="H25" s="25">
        <f t="shared" si="5"/>
        <v>9515.5</v>
      </c>
      <c r="I25" s="34" t="s">
        <v>138</v>
      </c>
      <c r="J25" s="35" t="s">
        <v>139</v>
      </c>
      <c r="K25" s="34">
        <v>9515.5</v>
      </c>
      <c r="L25" s="34" t="s">
        <v>140</v>
      </c>
      <c r="M25" s="35" t="s">
        <v>104</v>
      </c>
      <c r="N25" s="35"/>
      <c r="O25" s="36" t="s">
        <v>141</v>
      </c>
      <c r="P25" s="36" t="s">
        <v>142</v>
      </c>
    </row>
    <row r="26" spans="1:16" ht="12.75" customHeight="1">
      <c r="A26" s="25" t="str">
        <f t="shared" si="0"/>
        <v> BBS 122 </v>
      </c>
      <c r="B26" s="3" t="str">
        <f t="shared" si="1"/>
        <v>I</v>
      </c>
      <c r="C26" s="25">
        <f t="shared" si="2"/>
        <v>51547.245000000003</v>
      </c>
      <c r="D26" t="str">
        <f t="shared" si="3"/>
        <v>vis</v>
      </c>
      <c r="E26">
        <f>VLOOKUP(C26,Active!C$21:E$973,3,FALSE)</f>
        <v>9525.9249894365239</v>
      </c>
      <c r="F26" s="3" t="s">
        <v>79</v>
      </c>
      <c r="G26" t="str">
        <f t="shared" si="4"/>
        <v>51547.245</v>
      </c>
      <c r="H26" s="25">
        <f t="shared" si="5"/>
        <v>9526</v>
      </c>
      <c r="I26" s="34" t="s">
        <v>143</v>
      </c>
      <c r="J26" s="35" t="s">
        <v>144</v>
      </c>
      <c r="K26" s="34">
        <v>9526</v>
      </c>
      <c r="L26" s="34" t="s">
        <v>145</v>
      </c>
      <c r="M26" s="35" t="s">
        <v>104</v>
      </c>
      <c r="N26" s="35"/>
      <c r="O26" s="36" t="s">
        <v>141</v>
      </c>
      <c r="P26" s="36" t="s">
        <v>146</v>
      </c>
    </row>
    <row r="27" spans="1:16" ht="12.75" customHeight="1">
      <c r="A27" s="25" t="str">
        <f t="shared" si="0"/>
        <v> BBS 126 </v>
      </c>
      <c r="B27" s="3" t="str">
        <f t="shared" si="1"/>
        <v>I</v>
      </c>
      <c r="C27" s="25">
        <f t="shared" si="2"/>
        <v>52150.47</v>
      </c>
      <c r="D27" t="str">
        <f t="shared" si="3"/>
        <v>vis</v>
      </c>
      <c r="E27">
        <f>VLOOKUP(C27,Active!C$21:E$973,3,FALSE)</f>
        <v>9750.8906697933817</v>
      </c>
      <c r="F27" s="3" t="s">
        <v>79</v>
      </c>
      <c r="G27" t="str">
        <f t="shared" si="4"/>
        <v>52150.470</v>
      </c>
      <c r="H27" s="25">
        <f t="shared" si="5"/>
        <v>9751</v>
      </c>
      <c r="I27" s="34" t="s">
        <v>147</v>
      </c>
      <c r="J27" s="35" t="s">
        <v>148</v>
      </c>
      <c r="K27" s="34">
        <v>9751</v>
      </c>
      <c r="L27" s="34" t="s">
        <v>149</v>
      </c>
      <c r="M27" s="35" t="s">
        <v>150</v>
      </c>
      <c r="N27" s="35" t="s">
        <v>151</v>
      </c>
      <c r="O27" s="36" t="s">
        <v>118</v>
      </c>
      <c r="P27" s="36" t="s">
        <v>152</v>
      </c>
    </row>
    <row r="28" spans="1:16" ht="12.75" customHeight="1">
      <c r="A28" s="25" t="str">
        <f t="shared" si="0"/>
        <v>IBVS 5690 </v>
      </c>
      <c r="B28" s="3" t="str">
        <f t="shared" si="1"/>
        <v>I</v>
      </c>
      <c r="C28" s="25">
        <f t="shared" si="2"/>
        <v>53257.895700000001</v>
      </c>
      <c r="D28" t="str">
        <f t="shared" si="3"/>
        <v>vis</v>
      </c>
      <c r="E28">
        <f>VLOOKUP(C28,Active!C$21:E$973,3,FALSE)</f>
        <v>10163.892080618809</v>
      </c>
      <c r="F28" s="3" t="s">
        <v>79</v>
      </c>
      <c r="G28" t="str">
        <f t="shared" si="4"/>
        <v>53257.8957</v>
      </c>
      <c r="H28" s="25">
        <f t="shared" si="5"/>
        <v>10164</v>
      </c>
      <c r="I28" s="34" t="s">
        <v>153</v>
      </c>
      <c r="J28" s="35" t="s">
        <v>154</v>
      </c>
      <c r="K28" s="34">
        <v>10164</v>
      </c>
      <c r="L28" s="34" t="s">
        <v>155</v>
      </c>
      <c r="M28" s="35" t="s">
        <v>150</v>
      </c>
      <c r="N28" s="35" t="s">
        <v>151</v>
      </c>
      <c r="O28" s="36" t="s">
        <v>156</v>
      </c>
      <c r="P28" s="37" t="s">
        <v>157</v>
      </c>
    </row>
    <row r="29" spans="1:16" ht="12.75" customHeight="1">
      <c r="A29" s="25" t="str">
        <f t="shared" si="0"/>
        <v>BAVM 183 </v>
      </c>
      <c r="B29" s="3" t="str">
        <f t="shared" si="1"/>
        <v>I</v>
      </c>
      <c r="C29" s="25">
        <f t="shared" si="2"/>
        <v>54019.409</v>
      </c>
      <c r="D29" t="str">
        <f t="shared" si="3"/>
        <v>vis</v>
      </c>
      <c r="E29">
        <f>VLOOKUP(C29,Active!C$21:E$973,3,FALSE)</f>
        <v>10447.889523754116</v>
      </c>
      <c r="F29" s="3" t="s">
        <v>79</v>
      </c>
      <c r="G29" t="str">
        <f t="shared" si="4"/>
        <v>54019.4090</v>
      </c>
      <c r="H29" s="25">
        <f t="shared" si="5"/>
        <v>10448</v>
      </c>
      <c r="I29" s="34" t="s">
        <v>158</v>
      </c>
      <c r="J29" s="35" t="s">
        <v>159</v>
      </c>
      <c r="K29" s="34">
        <v>10448</v>
      </c>
      <c r="L29" s="34" t="s">
        <v>160</v>
      </c>
      <c r="M29" s="35" t="s">
        <v>161</v>
      </c>
      <c r="N29" s="35" t="s">
        <v>162</v>
      </c>
      <c r="O29" s="36" t="s">
        <v>163</v>
      </c>
      <c r="P29" s="37" t="s">
        <v>164</v>
      </c>
    </row>
    <row r="30" spans="1:16" ht="12.75" customHeight="1">
      <c r="A30" s="25" t="str">
        <f t="shared" si="0"/>
        <v>IBVS 6011 </v>
      </c>
      <c r="B30" s="3" t="str">
        <f t="shared" si="1"/>
        <v>I</v>
      </c>
      <c r="C30" s="25">
        <f t="shared" si="2"/>
        <v>55893.696799999998</v>
      </c>
      <c r="D30" t="str">
        <f t="shared" si="3"/>
        <v>vis</v>
      </c>
      <c r="E30">
        <f>VLOOKUP(C30,Active!C$21:E$973,3,FALSE)</f>
        <v>11146.883149866357</v>
      </c>
      <c r="F30" s="3" t="s">
        <v>79</v>
      </c>
      <c r="G30" t="str">
        <f t="shared" si="4"/>
        <v>55893.6968</v>
      </c>
      <c r="H30" s="25">
        <f t="shared" si="5"/>
        <v>11147</v>
      </c>
      <c r="I30" s="34" t="s">
        <v>165</v>
      </c>
      <c r="J30" s="35" t="s">
        <v>166</v>
      </c>
      <c r="K30" s="34" t="s">
        <v>167</v>
      </c>
      <c r="L30" s="34" t="s">
        <v>168</v>
      </c>
      <c r="M30" s="35" t="s">
        <v>161</v>
      </c>
      <c r="N30" s="35" t="s">
        <v>79</v>
      </c>
      <c r="O30" s="36" t="s">
        <v>118</v>
      </c>
      <c r="P30" s="37" t="s">
        <v>169</v>
      </c>
    </row>
    <row r="31" spans="1:16" ht="12.75" customHeight="1">
      <c r="A31" s="25" t="str">
        <f t="shared" si="0"/>
        <v>BAVM 239 </v>
      </c>
      <c r="B31" s="3" t="str">
        <f t="shared" si="1"/>
        <v>II</v>
      </c>
      <c r="C31" s="25">
        <f t="shared" si="2"/>
        <v>56943.466699999997</v>
      </c>
      <c r="D31" t="str">
        <f t="shared" si="3"/>
        <v>vis</v>
      </c>
      <c r="E31">
        <f>VLOOKUP(C31,Active!C$21:E$973,3,FALSE)</f>
        <v>11538.38250710727</v>
      </c>
      <c r="F31" s="3" t="s">
        <v>79</v>
      </c>
      <c r="G31" t="str">
        <f t="shared" si="4"/>
        <v>56943.4667</v>
      </c>
      <c r="H31" s="25">
        <f t="shared" si="5"/>
        <v>11538.5</v>
      </c>
      <c r="I31" s="34" t="s">
        <v>170</v>
      </c>
      <c r="J31" s="35" t="s">
        <v>171</v>
      </c>
      <c r="K31" s="34" t="s">
        <v>172</v>
      </c>
      <c r="L31" s="34" t="s">
        <v>173</v>
      </c>
      <c r="M31" s="35" t="s">
        <v>161</v>
      </c>
      <c r="N31" s="35" t="s">
        <v>162</v>
      </c>
      <c r="O31" s="36" t="s">
        <v>174</v>
      </c>
      <c r="P31" s="37" t="s">
        <v>175</v>
      </c>
    </row>
    <row r="32" spans="1:16" ht="12.75" customHeight="1">
      <c r="A32" s="25" t="str">
        <f t="shared" si="0"/>
        <v>VSB 50 </v>
      </c>
      <c r="B32" s="3" t="str">
        <f t="shared" si="1"/>
        <v>I</v>
      </c>
      <c r="C32" s="25">
        <f t="shared" si="2"/>
        <v>55124.140800000001</v>
      </c>
      <c r="D32" t="str">
        <f t="shared" si="3"/>
        <v>vis</v>
      </c>
      <c r="E32">
        <f>VLOOKUP(C32,Active!C$21:E$973,3,FALSE)</f>
        <v>10859.88627620777</v>
      </c>
      <c r="F32" s="3" t="s">
        <v>79</v>
      </c>
      <c r="G32" t="str">
        <f t="shared" si="4"/>
        <v>55124.1408</v>
      </c>
      <c r="H32" s="25">
        <f t="shared" si="5"/>
        <v>10860</v>
      </c>
      <c r="I32" s="34" t="s">
        <v>176</v>
      </c>
      <c r="J32" s="35" t="s">
        <v>177</v>
      </c>
      <c r="K32" s="34" t="s">
        <v>178</v>
      </c>
      <c r="L32" s="34" t="s">
        <v>179</v>
      </c>
      <c r="M32" s="35" t="s">
        <v>161</v>
      </c>
      <c r="N32" s="35" t="s">
        <v>180</v>
      </c>
      <c r="O32" s="36" t="s">
        <v>181</v>
      </c>
      <c r="P32" s="37" t="s">
        <v>67</v>
      </c>
    </row>
    <row r="33" spans="1:16" ht="12.75" customHeight="1">
      <c r="A33" s="25" t="str">
        <f t="shared" si="0"/>
        <v>BAVM 225 </v>
      </c>
      <c r="B33" s="3" t="str">
        <f t="shared" si="1"/>
        <v>I</v>
      </c>
      <c r="C33" s="25">
        <f t="shared" si="2"/>
        <v>55888.335500000001</v>
      </c>
      <c r="D33" t="str">
        <f t="shared" si="3"/>
        <v>vis</v>
      </c>
      <c r="E33">
        <f>VLOOKUP(C33,Active!C$21:E$973,3,FALSE)</f>
        <v>11144.883715986633</v>
      </c>
      <c r="F33" s="3" t="s">
        <v>79</v>
      </c>
      <c r="G33" t="str">
        <f t="shared" si="4"/>
        <v>55888.3355</v>
      </c>
      <c r="H33" s="25">
        <f t="shared" si="5"/>
        <v>11145</v>
      </c>
      <c r="I33" s="34" t="s">
        <v>182</v>
      </c>
      <c r="J33" s="35" t="s">
        <v>183</v>
      </c>
      <c r="K33" s="34" t="s">
        <v>184</v>
      </c>
      <c r="L33" s="34" t="s">
        <v>185</v>
      </c>
      <c r="M33" s="35" t="s">
        <v>161</v>
      </c>
      <c r="N33" s="35" t="s">
        <v>162</v>
      </c>
      <c r="O33" s="36" t="s">
        <v>186</v>
      </c>
      <c r="P33" s="37" t="s">
        <v>68</v>
      </c>
    </row>
  </sheetData>
  <sheetProtection selectLockedCells="1" selectUnlockedCells="1"/>
  <hyperlinks>
    <hyperlink ref="P22" r:id="rId1"/>
    <hyperlink ref="P28" r:id="rId2"/>
    <hyperlink ref="P29" r:id="rId3"/>
    <hyperlink ref="P30" r:id="rId4"/>
    <hyperlink ref="P31" r:id="rId5"/>
    <hyperlink ref="P32" r:id="rId6"/>
    <hyperlink ref="P33" r:id="rId7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2024-03-04T05:12:29Z</dcterms:created>
  <dcterms:modified xsi:type="dcterms:W3CDTF">2024-03-04T05:12:29Z</dcterms:modified>
</cp:coreProperties>
</file>