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7D92129-D43B-4AB8-BF5F-F78E45FAEE7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B2" i="1" l="1"/>
  <c r="C4" i="1"/>
  <c r="D4" i="1"/>
  <c r="C7" i="1"/>
  <c r="E40" i="1"/>
  <c r="F40" i="1"/>
  <c r="G40" i="1" s="1"/>
  <c r="J40" i="1" s="1"/>
  <c r="C8" i="1"/>
  <c r="F11" i="1"/>
  <c r="G11" i="1"/>
  <c r="E14" i="1"/>
  <c r="C17" i="1"/>
  <c r="Q39" i="1"/>
  <c r="Q40" i="1"/>
  <c r="E41" i="1"/>
  <c r="E12" i="2" s="1"/>
  <c r="Q41" i="1"/>
  <c r="E42" i="1"/>
  <c r="F42" i="1"/>
  <c r="G42" i="1" s="1"/>
  <c r="J42" i="1" s="1"/>
  <c r="Q42" i="1"/>
  <c r="E44" i="1"/>
  <c r="E14" i="2" s="1"/>
  <c r="Q44" i="1"/>
  <c r="E21" i="1"/>
  <c r="F21" i="1" s="1"/>
  <c r="G21" i="1" s="1"/>
  <c r="I21" i="1" s="1"/>
  <c r="Q21" i="1"/>
  <c r="E22" i="1"/>
  <c r="F22" i="1" s="1"/>
  <c r="G22" i="1" s="1"/>
  <c r="I22" i="1" s="1"/>
  <c r="Q22" i="1"/>
  <c r="E23" i="1"/>
  <c r="F23" i="1"/>
  <c r="G23" i="1" s="1"/>
  <c r="I23" i="1" s="1"/>
  <c r="Q23" i="1"/>
  <c r="E24" i="1"/>
  <c r="F24" i="1" s="1"/>
  <c r="G24" i="1" s="1"/>
  <c r="I24" i="1" s="1"/>
  <c r="Q24" i="1"/>
  <c r="E25" i="1"/>
  <c r="F25" i="1"/>
  <c r="G25" i="1" s="1"/>
  <c r="I25" i="1" s="1"/>
  <c r="Q25" i="1"/>
  <c r="E26" i="1"/>
  <c r="F26" i="1"/>
  <c r="G26" i="1"/>
  <c r="I26" i="1" s="1"/>
  <c r="Q26" i="1"/>
  <c r="E27" i="1"/>
  <c r="F27" i="1"/>
  <c r="G27" i="1" s="1"/>
  <c r="I27" i="1" s="1"/>
  <c r="Q27" i="1"/>
  <c r="E28" i="1"/>
  <c r="E22" i="2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/>
  <c r="G31" i="1" s="1"/>
  <c r="I31" i="1" s="1"/>
  <c r="Q31" i="1"/>
  <c r="E32" i="1"/>
  <c r="F32" i="1" s="1"/>
  <c r="G32" i="1" s="1"/>
  <c r="I32" i="1" s="1"/>
  <c r="Q32" i="1"/>
  <c r="E33" i="1"/>
  <c r="F33" i="1"/>
  <c r="G33" i="1" s="1"/>
  <c r="I33" i="1" s="1"/>
  <c r="Q33" i="1"/>
  <c r="E34" i="1"/>
  <c r="F34" i="1"/>
  <c r="G34" i="1"/>
  <c r="I34" i="1" s="1"/>
  <c r="Q34" i="1"/>
  <c r="E35" i="1"/>
  <c r="F35" i="1"/>
  <c r="G35" i="1" s="1"/>
  <c r="I35" i="1" s="1"/>
  <c r="Q35" i="1"/>
  <c r="E36" i="1"/>
  <c r="E30" i="2" s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43" i="1"/>
  <c r="F43" i="1"/>
  <c r="G43" i="1" s="1"/>
  <c r="J43" i="1" s="1"/>
  <c r="Q43" i="1"/>
  <c r="A11" i="2"/>
  <c r="B11" i="2"/>
  <c r="D11" i="2"/>
  <c r="G11" i="2"/>
  <c r="C11" i="2"/>
  <c r="E11" i="2"/>
  <c r="H11" i="2"/>
  <c r="A12" i="2"/>
  <c r="D12" i="2"/>
  <c r="G12" i="2"/>
  <c r="C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H16" i="2"/>
  <c r="B16" i="2"/>
  <c r="A17" i="2"/>
  <c r="B17" i="2"/>
  <c r="C17" i="2"/>
  <c r="E17" i="2"/>
  <c r="D17" i="2"/>
  <c r="G17" i="2"/>
  <c r="H17" i="2"/>
  <c r="A18" i="2"/>
  <c r="B18" i="2"/>
  <c r="C18" i="2"/>
  <c r="E18" i="2"/>
  <c r="D18" i="2"/>
  <c r="G18" i="2"/>
  <c r="H18" i="2"/>
  <c r="A19" i="2"/>
  <c r="B19" i="2"/>
  <c r="C19" i="2"/>
  <c r="D19" i="2"/>
  <c r="E19" i="2"/>
  <c r="G19" i="2"/>
  <c r="H19" i="2"/>
  <c r="A20" i="2"/>
  <c r="D20" i="2"/>
  <c r="G20" i="2"/>
  <c r="C20" i="2"/>
  <c r="E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H22" i="2"/>
  <c r="B22" i="2"/>
  <c r="A23" i="2"/>
  <c r="D23" i="2"/>
  <c r="G23" i="2"/>
  <c r="C23" i="2"/>
  <c r="E23" i="2"/>
  <c r="H23" i="2"/>
  <c r="B23" i="2"/>
  <c r="A24" i="2"/>
  <c r="B24" i="2"/>
  <c r="D24" i="2"/>
  <c r="G24" i="2"/>
  <c r="C24" i="2"/>
  <c r="H24" i="2"/>
  <c r="A25" i="2"/>
  <c r="B25" i="2"/>
  <c r="C25" i="2"/>
  <c r="E25" i="2"/>
  <c r="D25" i="2"/>
  <c r="G25" i="2"/>
  <c r="H25" i="2"/>
  <c r="A26" i="2"/>
  <c r="B26" i="2"/>
  <c r="C26" i="2"/>
  <c r="E26" i="2"/>
  <c r="D26" i="2"/>
  <c r="G26" i="2"/>
  <c r="H26" i="2"/>
  <c r="A27" i="2"/>
  <c r="B27" i="2"/>
  <c r="C27" i="2"/>
  <c r="D27" i="2"/>
  <c r="E27" i="2"/>
  <c r="G27" i="2"/>
  <c r="H27" i="2"/>
  <c r="A28" i="2"/>
  <c r="D28" i="2"/>
  <c r="G28" i="2"/>
  <c r="C28" i="2"/>
  <c r="E28" i="2"/>
  <c r="H28" i="2"/>
  <c r="B28" i="2"/>
  <c r="A29" i="2"/>
  <c r="D29" i="2"/>
  <c r="G29" i="2"/>
  <c r="C29" i="2"/>
  <c r="E29" i="2"/>
  <c r="H29" i="2"/>
  <c r="B29" i="2"/>
  <c r="A30" i="2"/>
  <c r="D30" i="2"/>
  <c r="G30" i="2"/>
  <c r="C30" i="2"/>
  <c r="H30" i="2"/>
  <c r="B30" i="2"/>
  <c r="A31" i="2"/>
  <c r="D31" i="2"/>
  <c r="G31" i="2"/>
  <c r="C31" i="2"/>
  <c r="E31" i="2"/>
  <c r="H31" i="2"/>
  <c r="B31" i="2"/>
  <c r="A32" i="2"/>
  <c r="B32" i="2"/>
  <c r="D32" i="2"/>
  <c r="G32" i="2"/>
  <c r="C32" i="2"/>
  <c r="H32" i="2"/>
  <c r="A33" i="2"/>
  <c r="B33" i="2"/>
  <c r="C33" i="2"/>
  <c r="E33" i="2"/>
  <c r="D33" i="2"/>
  <c r="G33" i="2"/>
  <c r="H33" i="2"/>
  <c r="E39" i="1"/>
  <c r="F39" i="1"/>
  <c r="G39" i="1" s="1"/>
  <c r="H39" i="1" s="1"/>
  <c r="F36" i="1" l="1"/>
  <c r="G36" i="1" s="1"/>
  <c r="I36" i="1" s="1"/>
  <c r="F28" i="1"/>
  <c r="G28" i="1" s="1"/>
  <c r="F44" i="1"/>
  <c r="G44" i="1" s="1"/>
  <c r="J44" i="1" s="1"/>
  <c r="F41" i="1"/>
  <c r="G41" i="1" s="1"/>
  <c r="J41" i="1" s="1"/>
  <c r="E32" i="2"/>
  <c r="E24" i="2"/>
  <c r="E16" i="2"/>
  <c r="E15" i="1"/>
  <c r="C11" i="1"/>
  <c r="C12" i="1"/>
  <c r="C16" i="1" l="1"/>
  <c r="D18" i="1" s="1"/>
  <c r="O41" i="1"/>
  <c r="O44" i="1"/>
  <c r="O32" i="1"/>
  <c r="O21" i="1"/>
  <c r="C15" i="1"/>
  <c r="C18" i="1" s="1"/>
  <c r="O36" i="1"/>
  <c r="O22" i="1"/>
  <c r="O38" i="1"/>
  <c r="O37" i="1"/>
  <c r="O30" i="1"/>
  <c r="O40" i="1"/>
  <c r="O27" i="1"/>
  <c r="O34" i="1"/>
  <c r="O23" i="1"/>
  <c r="O29" i="1"/>
  <c r="O35" i="1"/>
  <c r="O28" i="1"/>
  <c r="O24" i="1"/>
  <c r="O43" i="1"/>
  <c r="O39" i="1"/>
  <c r="O42" i="1"/>
  <c r="O31" i="1"/>
  <c r="O26" i="1"/>
  <c r="O25" i="1"/>
  <c r="O33" i="1"/>
  <c r="I28" i="1"/>
  <c r="E16" i="1" l="1"/>
  <c r="E17" i="1" s="1"/>
</calcChain>
</file>

<file path=xl/sharedStrings.xml><?xml version="1.0" encoding="utf-8"?>
<sst xmlns="http://schemas.openxmlformats.org/spreadsheetml/2006/main" count="273" uniqueCount="145">
  <si>
    <t xml:space="preserve">UW Psc / GSC 1748-1646               </t>
  </si>
  <si>
    <t xml:space="preserve">EA/DM     </t>
  </si>
  <si>
    <t>System Type:</t>
  </si>
  <si>
    <t>Kreiner Eph.</t>
  </si>
  <si>
    <t>J.M. Kreiner, 2004, Acta Astronomica, vol. 54, pp 207-210.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</si>
  <si>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</si>
  <si>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</si>
  <si>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</si>
  <si>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</si>
  <si>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</si>
  <si>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</si>
  <si>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</si>
  <si>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</si>
  <si>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</si>
  <si>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</si>
  <si>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</si>
  <si>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</si>
  <si>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</si>
  <si>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</si>
  <si>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</si>
  <si>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</si>
  <si>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</si>
  <si>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</si>
  <si>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</si>
  <si>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</si>
  <si>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</si>
  <si>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</si>
  <si>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</si>
  <si>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</si>
  <si>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</si>
  <si>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</si>
  <si>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</si>
  <si>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</si>
  <si>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</si>
  <si>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Kreiner</t>
  </si>
  <si>
    <t>S4</t>
  </si>
  <si>
    <t>S5</t>
  </si>
  <si>
    <t>S6</t>
  </si>
  <si>
    <t>Misc</t>
  </si>
  <si>
    <t>Lin Fit</t>
  </si>
  <si>
    <t>Q. Fit</t>
  </si>
  <si>
    <t>Date</t>
  </si>
  <si>
    <t>I</t>
  </si>
  <si>
    <t>IBVS 5761</t>
  </si>
  <si>
    <t>IBVS 5871</t>
  </si>
  <si>
    <t>IBVS 5960</t>
  </si>
  <si>
    <t>II</t>
  </si>
  <si>
    <t> VB 5.3 </t>
  </si>
  <si>
    <t> AC 182.14 </t>
  </si>
  <si>
    <t>VSB 50 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</si>
  <si>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</si>
  <si>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</si>
  <si>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</si>
  <si>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</si>
  <si>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</si>
  <si>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</si>
  <si>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</si>
  <si>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</si>
  <si>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</si>
  <si>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</si>
  <si>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</si>
  <si>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2453705.6220 </t>
  </si>
  <si>
    <t> 01.12.2005 02:55 </t>
  </si>
  <si>
    <t> 0.2580 </t>
  </si>
  <si>
    <t>C </t>
  </si>
  <si>
    <t> F. Agerer </t>
  </si>
  <si>
    <t>BAVM 183 </t>
  </si>
  <si>
    <t>2454019.4739 </t>
  </si>
  <si>
    <t> 10.10.2006 23:22 </t>
  </si>
  <si>
    <t> 0.2654 </t>
  </si>
  <si>
    <t>-I</t>
  </si>
  <si>
    <t>2454761.7402 </t>
  </si>
  <si>
    <t> 22.10.2008 05:45 </t>
  </si>
  <si>
    <t>11536</t>
  </si>
  <si>
    <t> 0.2643 </t>
  </si>
  <si>
    <t> R.Diethelm </t>
  </si>
  <si>
    <t>IBVS 5871 </t>
  </si>
  <si>
    <t>2455527.6808 </t>
  </si>
  <si>
    <t> 27.11.2010 04:20 </t>
  </si>
  <si>
    <t>11843.5</t>
  </si>
  <si>
    <t> 0.2747 </t>
  </si>
  <si>
    <t>IBVS 5960 </t>
  </si>
  <si>
    <t>2426027.268 </t>
  </si>
  <si>
    <t> 19.02.1930 18:25 </t>
  </si>
  <si>
    <t> 0.007 </t>
  </si>
  <si>
    <t>P </t>
  </si>
  <si>
    <t> W.Strohmeier </t>
  </si>
  <si>
    <t>2426266.411 </t>
  </si>
  <si>
    <t> 16.10.1930 21:51 </t>
  </si>
  <si>
    <t> 0.030 </t>
  </si>
  <si>
    <t>2426632.439 </t>
  </si>
  <si>
    <t> 17.10.1931 22:32 </t>
  </si>
  <si>
    <t> -0.094 </t>
  </si>
  <si>
    <t>2426707.263 </t>
  </si>
  <si>
    <t> 31.12.1931 18:18 </t>
  </si>
  <si>
    <t> 0.005 </t>
  </si>
  <si>
    <t>2427307.453 </t>
  </si>
  <si>
    <t> 22.08.1933 22:52 </t>
  </si>
  <si>
    <t> -0.095 </t>
  </si>
  <si>
    <t>2427307.475 </t>
  </si>
  <si>
    <t> 22.08.1933 23:24 </t>
  </si>
  <si>
    <t> -0.073 </t>
  </si>
  <si>
    <t>2427307.497 </t>
  </si>
  <si>
    <t> 22.08.1933 23:55 </t>
  </si>
  <si>
    <t> -0.051 </t>
  </si>
  <si>
    <t>2427307.517 </t>
  </si>
  <si>
    <t> 23.08.1933 00:24 </t>
  </si>
  <si>
    <t> -0.031 </t>
  </si>
  <si>
    <t>2427312.484 </t>
  </si>
  <si>
    <t> 27.08.1933 23:36 </t>
  </si>
  <si>
    <t> -0.045 </t>
  </si>
  <si>
    <t>2427332.509 </t>
  </si>
  <si>
    <t> 17.09.1933 00:12 </t>
  </si>
  <si>
    <t> 0.053 </t>
  </si>
  <si>
    <t>2428398.521 </t>
  </si>
  <si>
    <t> 18.08.1936 00:30 </t>
  </si>
  <si>
    <t> -0.010 </t>
  </si>
  <si>
    <t>2428408.558 </t>
  </si>
  <si>
    <t> 28.08.1936 01:23 </t>
  </si>
  <si>
    <t> 0.064 </t>
  </si>
  <si>
    <t>2428834.418 </t>
  </si>
  <si>
    <t> 27.10.1937 22:01 </t>
  </si>
  <si>
    <t> -0.008 </t>
  </si>
  <si>
    <t>2433888.301 </t>
  </si>
  <si>
    <t> 29.08.1951 19:13 </t>
  </si>
  <si>
    <t> -0.019 </t>
  </si>
  <si>
    <t> G.S.Filatov </t>
  </si>
  <si>
    <t>2433970.205 </t>
  </si>
  <si>
    <t> 19.11.1951 16:55 </t>
  </si>
  <si>
    <t> -0.313 </t>
  </si>
  <si>
    <t>2434769.128 </t>
  </si>
  <si>
    <t> 26.01.1954 15:04 </t>
  </si>
  <si>
    <t> -0.946 </t>
  </si>
  <si>
    <t>2434994.429 </t>
  </si>
  <si>
    <t> 08.09.1954 22:17 </t>
  </si>
  <si>
    <t> 0.180 </t>
  </si>
  <si>
    <t>2435095.106 </t>
  </si>
  <si>
    <t> 18.12.1954 14:32 </t>
  </si>
  <si>
    <t> -0.022 </t>
  </si>
  <si>
    <t>2454843.9368 </t>
  </si>
  <si>
    <t> 12.01.2009 10:28 </t>
  </si>
  <si>
    <t>11569</t>
  </si>
  <si>
    <t> 0.2635 </t>
  </si>
  <si>
    <t> K.Nakajima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</si>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</sst>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8" formatCode="dd/mm/yyyy"/>
  </numFmts>
  <fonts count="17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6" fillId="0" borderId="2" applyNumberFormat="0" applyFill="0" applyProtection="0">
      <alignment vertical="top"/>
    </xf>
  </cellStyleXfs>
  <cellXfs count="62">
    <xf numFmtId="0" fontId="0" fillId="0" borderId="0" xfId="0">
      <alignment vertical="top"/>
    </xf>
    <xf numFmtId="0" fontId="0" fillId="0" borderId="0" xfId="0" applyFill="1" applyAlignment="1"/>
    <xf numFmtId="0" fontId="3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Fill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15" fillId="0" borderId="0" xfId="7" applyNumberFormat="1" applyFont="1" applyFill="1" applyBorder="1" applyAlignment="1" applyProtection="1">
      <alignment horizontal="left"/>
    </xf>
    <xf numFmtId="0" fontId="0" fillId="0" borderId="10" xfId="0" applyFont="1" applyBorder="1" applyAlignment="1">
      <alignment horizontal="center"/>
    </xf>
    <xf numFmtId="0" fontId="0" fillId="0" borderId="11" xfId="0" applyFont="1" applyBorder="1">
      <alignment vertical="top"/>
    </xf>
    <xf numFmtId="0" fontId="9" fillId="2" borderId="12" xfId="0" applyFont="1" applyFill="1" applyBorder="1" applyAlignment="1">
      <alignment horizontal="left" vertical="top" wrapText="1" indent="1"/>
    </xf>
    <xf numFmtId="0" fontId="9" fillId="2" borderId="12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right" vertical="top" wrapText="1"/>
    </xf>
    <xf numFmtId="0" fontId="15" fillId="2" borderId="12" xfId="7" applyNumberFormat="1" applyFont="1" applyFill="1" applyBorder="1" applyAlignment="1" applyProtection="1">
      <alignment horizontal="right" vertical="top" wrapText="1"/>
    </xf>
    <xf numFmtId="168" fontId="0" fillId="0" borderId="0" xfId="0" applyNumberFormat="1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8" fontId="0" fillId="0" borderId="0" xfId="0" applyNumberFormat="1" applyFill="1" applyAlignment="1">
      <alignment vertical="center"/>
    </xf>
    <xf numFmtId="0" fontId="11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Psc - O-C Diagr.</a:t>
            </a:r>
          </a:p>
        </c:rich>
      </c:tx>
      <c:layout>
        <c:manualLayout>
          <c:xMode val="edge"/>
          <c:yMode val="edge"/>
          <c:x val="0.3825304367074597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4226834751237"/>
          <c:y val="0.12612675667793774"/>
          <c:w val="0.81325361008507424"/>
          <c:h val="0.65765923403718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-10628</c:v>
                </c:pt>
                <c:pt idx="1">
                  <c:v>-10532</c:v>
                </c:pt>
                <c:pt idx="2">
                  <c:v>-10385</c:v>
                </c:pt>
                <c:pt idx="3">
                  <c:v>-10355</c:v>
                </c:pt>
                <c:pt idx="4">
                  <c:v>-10114</c:v>
                </c:pt>
                <c:pt idx="5">
                  <c:v>-10114</c:v>
                </c:pt>
                <c:pt idx="6">
                  <c:v>-10114</c:v>
                </c:pt>
                <c:pt idx="7">
                  <c:v>-10114</c:v>
                </c:pt>
                <c:pt idx="8">
                  <c:v>-10112</c:v>
                </c:pt>
                <c:pt idx="9">
                  <c:v>-10104</c:v>
                </c:pt>
                <c:pt idx="10">
                  <c:v>-9676</c:v>
                </c:pt>
                <c:pt idx="11">
                  <c:v>-9672</c:v>
                </c:pt>
                <c:pt idx="12">
                  <c:v>-9501</c:v>
                </c:pt>
                <c:pt idx="13">
                  <c:v>-7472</c:v>
                </c:pt>
                <c:pt idx="14">
                  <c:v>-7439</c:v>
                </c:pt>
                <c:pt idx="15">
                  <c:v>-7118.5</c:v>
                </c:pt>
                <c:pt idx="16">
                  <c:v>-7028</c:v>
                </c:pt>
                <c:pt idx="17">
                  <c:v>-6987.5</c:v>
                </c:pt>
                <c:pt idx="18">
                  <c:v>0</c:v>
                </c:pt>
                <c:pt idx="19">
                  <c:v>484</c:v>
                </c:pt>
                <c:pt idx="20">
                  <c:v>610</c:v>
                </c:pt>
                <c:pt idx="21">
                  <c:v>908</c:v>
                </c:pt>
                <c:pt idx="22">
                  <c:v>941</c:v>
                </c:pt>
                <c:pt idx="23">
                  <c:v>1215.5</c:v>
                </c:pt>
              </c:numCache>
            </c:numRef>
          </c:xVal>
          <c:yVal>
            <c:numRef>
              <c:f>Active!$H$21:$H$440</c:f>
              <c:numCache>
                <c:formatCode>General</c:formatCode>
                <c:ptCount val="420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2E-4D50-AF1D-812347E3BB4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-10628</c:v>
                </c:pt>
                <c:pt idx="1">
                  <c:v>-10532</c:v>
                </c:pt>
                <c:pt idx="2">
                  <c:v>-10385</c:v>
                </c:pt>
                <c:pt idx="3">
                  <c:v>-10355</c:v>
                </c:pt>
                <c:pt idx="4">
                  <c:v>-10114</c:v>
                </c:pt>
                <c:pt idx="5">
                  <c:v>-10114</c:v>
                </c:pt>
                <c:pt idx="6">
                  <c:v>-10114</c:v>
                </c:pt>
                <c:pt idx="7">
                  <c:v>-10114</c:v>
                </c:pt>
                <c:pt idx="8">
                  <c:v>-10112</c:v>
                </c:pt>
                <c:pt idx="9">
                  <c:v>-10104</c:v>
                </c:pt>
                <c:pt idx="10">
                  <c:v>-9676</c:v>
                </c:pt>
                <c:pt idx="11">
                  <c:v>-9672</c:v>
                </c:pt>
                <c:pt idx="12">
                  <c:v>-9501</c:v>
                </c:pt>
                <c:pt idx="13">
                  <c:v>-7472</c:v>
                </c:pt>
                <c:pt idx="14">
                  <c:v>-7439</c:v>
                </c:pt>
                <c:pt idx="15">
                  <c:v>-7118.5</c:v>
                </c:pt>
                <c:pt idx="16">
                  <c:v>-7028</c:v>
                </c:pt>
                <c:pt idx="17">
                  <c:v>-6987.5</c:v>
                </c:pt>
                <c:pt idx="18">
                  <c:v>0</c:v>
                </c:pt>
                <c:pt idx="19">
                  <c:v>484</c:v>
                </c:pt>
                <c:pt idx="20">
                  <c:v>610</c:v>
                </c:pt>
                <c:pt idx="21">
                  <c:v>908</c:v>
                </c:pt>
                <c:pt idx="22">
                  <c:v>941</c:v>
                </c:pt>
                <c:pt idx="23">
                  <c:v>1215.5</c:v>
                </c:pt>
              </c:numCache>
            </c:numRef>
          </c:xVal>
          <c:yVal>
            <c:numRef>
              <c:f>Active!$I$21:$I$440</c:f>
              <c:numCache>
                <c:formatCode>General</c:formatCode>
                <c:ptCount val="420"/>
                <c:pt idx="0">
                  <c:v>5.6196000001364155E-2</c:v>
                </c:pt>
                <c:pt idx="1">
                  <c:v>7.6924000000872184E-2</c:v>
                </c:pt>
                <c:pt idx="2">
                  <c:v>-5.1054999999905704E-2</c:v>
                </c:pt>
                <c:pt idx="3">
                  <c:v>4.7234999998181593E-2</c:v>
                </c:pt>
                <c:pt idx="4">
                  <c:v>-5.9301999997842358E-2</c:v>
                </c:pt>
                <c:pt idx="5">
                  <c:v>-3.7302000000636326E-2</c:v>
                </c:pt>
                <c:pt idx="6">
                  <c:v>-1.5301999999792315E-2</c:v>
                </c:pt>
                <c:pt idx="7">
                  <c:v>4.6980000006442424E-3</c:v>
                </c:pt>
                <c:pt idx="8">
                  <c:v>-1.0016000000177883E-2</c:v>
                </c:pt>
                <c:pt idx="9">
                  <c:v>8.8127999999414897E-2</c:v>
                </c:pt>
                <c:pt idx="10">
                  <c:v>1.3332000002264977E-2</c:v>
                </c:pt>
                <c:pt idx="11">
                  <c:v>8.6903999999776715E-2</c:v>
                </c:pt>
                <c:pt idx="12">
                  <c:v>1.0357000002841232E-2</c:v>
                </c:pt>
                <c:pt idx="13">
                  <c:v>-5.5496000000857748E-2</c:v>
                </c:pt>
                <c:pt idx="14">
                  <c:v>-0.34977699999581091</c:v>
                </c:pt>
                <c:pt idx="15">
                  <c:v>0.25355449999915436</c:v>
                </c:pt>
                <c:pt idx="16">
                  <c:v>0.13199599999643397</c:v>
                </c:pt>
                <c:pt idx="17">
                  <c:v>-7.0712500004447065E-2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2E-4D50-AF1D-812347E3BB4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-10628</c:v>
                </c:pt>
                <c:pt idx="1">
                  <c:v>-10532</c:v>
                </c:pt>
                <c:pt idx="2">
                  <c:v>-10385</c:v>
                </c:pt>
                <c:pt idx="3">
                  <c:v>-10355</c:v>
                </c:pt>
                <c:pt idx="4">
                  <c:v>-10114</c:v>
                </c:pt>
                <c:pt idx="5">
                  <c:v>-10114</c:v>
                </c:pt>
                <c:pt idx="6">
                  <c:v>-10114</c:v>
                </c:pt>
                <c:pt idx="7">
                  <c:v>-10114</c:v>
                </c:pt>
                <c:pt idx="8">
                  <c:v>-10112</c:v>
                </c:pt>
                <c:pt idx="9">
                  <c:v>-10104</c:v>
                </c:pt>
                <c:pt idx="10">
                  <c:v>-9676</c:v>
                </c:pt>
                <c:pt idx="11">
                  <c:v>-9672</c:v>
                </c:pt>
                <c:pt idx="12">
                  <c:v>-9501</c:v>
                </c:pt>
                <c:pt idx="13">
                  <c:v>-7472</c:v>
                </c:pt>
                <c:pt idx="14">
                  <c:v>-7439</c:v>
                </c:pt>
                <c:pt idx="15">
                  <c:v>-7118.5</c:v>
                </c:pt>
                <c:pt idx="16">
                  <c:v>-7028</c:v>
                </c:pt>
                <c:pt idx="17">
                  <c:v>-6987.5</c:v>
                </c:pt>
                <c:pt idx="18">
                  <c:v>0</c:v>
                </c:pt>
                <c:pt idx="19">
                  <c:v>484</c:v>
                </c:pt>
                <c:pt idx="20">
                  <c:v>610</c:v>
                </c:pt>
                <c:pt idx="21">
                  <c:v>908</c:v>
                </c:pt>
                <c:pt idx="22">
                  <c:v>941</c:v>
                </c:pt>
                <c:pt idx="23">
                  <c:v>1215.5</c:v>
                </c:pt>
              </c:numCache>
            </c:numRef>
          </c:xVal>
          <c:yVal>
            <c:numRef>
              <c:f>Active!$J$21:$J$440</c:f>
              <c:numCache>
                <c:formatCode>General</c:formatCode>
                <c:ptCount val="420"/>
                <c:pt idx="19">
                  <c:v>7.2120000040740706E-3</c:v>
                </c:pt>
                <c:pt idx="20">
                  <c:v>1.1129999998956919E-2</c:v>
                </c:pt>
                <c:pt idx="21">
                  <c:v>2.0440000007511117E-3</c:v>
                </c:pt>
                <c:pt idx="22">
                  <c:v>3.6299999919719994E-4</c:v>
                </c:pt>
                <c:pt idx="23">
                  <c:v>4.1165000002365559E-3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2E-4D50-AF1D-812347E3BB4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-10628</c:v>
                </c:pt>
                <c:pt idx="1">
                  <c:v>-10532</c:v>
                </c:pt>
                <c:pt idx="2">
                  <c:v>-10385</c:v>
                </c:pt>
                <c:pt idx="3">
                  <c:v>-10355</c:v>
                </c:pt>
                <c:pt idx="4">
                  <c:v>-10114</c:v>
                </c:pt>
                <c:pt idx="5">
                  <c:v>-10114</c:v>
                </c:pt>
                <c:pt idx="6">
                  <c:v>-10114</c:v>
                </c:pt>
                <c:pt idx="7">
                  <c:v>-10114</c:v>
                </c:pt>
                <c:pt idx="8">
                  <c:v>-10112</c:v>
                </c:pt>
                <c:pt idx="9">
                  <c:v>-10104</c:v>
                </c:pt>
                <c:pt idx="10">
                  <c:v>-9676</c:v>
                </c:pt>
                <c:pt idx="11">
                  <c:v>-9672</c:v>
                </c:pt>
                <c:pt idx="12">
                  <c:v>-9501</c:v>
                </c:pt>
                <c:pt idx="13">
                  <c:v>-7472</c:v>
                </c:pt>
                <c:pt idx="14">
                  <c:v>-7439</c:v>
                </c:pt>
                <c:pt idx="15">
                  <c:v>-7118.5</c:v>
                </c:pt>
                <c:pt idx="16">
                  <c:v>-7028</c:v>
                </c:pt>
                <c:pt idx="17">
                  <c:v>-6987.5</c:v>
                </c:pt>
                <c:pt idx="18">
                  <c:v>0</c:v>
                </c:pt>
                <c:pt idx="19">
                  <c:v>484</c:v>
                </c:pt>
                <c:pt idx="20">
                  <c:v>610</c:v>
                </c:pt>
                <c:pt idx="21">
                  <c:v>908</c:v>
                </c:pt>
                <c:pt idx="22">
                  <c:v>941</c:v>
                </c:pt>
                <c:pt idx="23">
                  <c:v>1215.5</c:v>
                </c:pt>
              </c:numCache>
            </c:numRef>
          </c:xVal>
          <c:yVal>
            <c:numRef>
              <c:f>Active!$K$21:$K$440</c:f>
              <c:numCache>
                <c:formatCode>General</c:formatCode>
                <c:ptCount val="4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2E-4D50-AF1D-812347E3BB4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-10628</c:v>
                </c:pt>
                <c:pt idx="1">
                  <c:v>-10532</c:v>
                </c:pt>
                <c:pt idx="2">
                  <c:v>-10385</c:v>
                </c:pt>
                <c:pt idx="3">
                  <c:v>-10355</c:v>
                </c:pt>
                <c:pt idx="4">
                  <c:v>-10114</c:v>
                </c:pt>
                <c:pt idx="5">
                  <c:v>-10114</c:v>
                </c:pt>
                <c:pt idx="6">
                  <c:v>-10114</c:v>
                </c:pt>
                <c:pt idx="7">
                  <c:v>-10114</c:v>
                </c:pt>
                <c:pt idx="8">
                  <c:v>-10112</c:v>
                </c:pt>
                <c:pt idx="9">
                  <c:v>-10104</c:v>
                </c:pt>
                <c:pt idx="10">
                  <c:v>-9676</c:v>
                </c:pt>
                <c:pt idx="11">
                  <c:v>-9672</c:v>
                </c:pt>
                <c:pt idx="12">
                  <c:v>-9501</c:v>
                </c:pt>
                <c:pt idx="13">
                  <c:v>-7472</c:v>
                </c:pt>
                <c:pt idx="14">
                  <c:v>-7439</c:v>
                </c:pt>
                <c:pt idx="15">
                  <c:v>-7118.5</c:v>
                </c:pt>
                <c:pt idx="16">
                  <c:v>-7028</c:v>
                </c:pt>
                <c:pt idx="17">
                  <c:v>-6987.5</c:v>
                </c:pt>
                <c:pt idx="18">
                  <c:v>0</c:v>
                </c:pt>
                <c:pt idx="19">
                  <c:v>484</c:v>
                </c:pt>
                <c:pt idx="20">
                  <c:v>610</c:v>
                </c:pt>
                <c:pt idx="21">
                  <c:v>908</c:v>
                </c:pt>
                <c:pt idx="22">
                  <c:v>941</c:v>
                </c:pt>
                <c:pt idx="23">
                  <c:v>1215.5</c:v>
                </c:pt>
              </c:numCache>
            </c:numRef>
          </c:xVal>
          <c:yVal>
            <c:numRef>
              <c:f>Active!$L$21:$L$440</c:f>
              <c:numCache>
                <c:formatCode>General</c:formatCode>
                <c:ptCount val="4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2E-4D50-AF1D-812347E3BB4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-10628</c:v>
                </c:pt>
                <c:pt idx="1">
                  <c:v>-10532</c:v>
                </c:pt>
                <c:pt idx="2">
                  <c:v>-10385</c:v>
                </c:pt>
                <c:pt idx="3">
                  <c:v>-10355</c:v>
                </c:pt>
                <c:pt idx="4">
                  <c:v>-10114</c:v>
                </c:pt>
                <c:pt idx="5">
                  <c:v>-10114</c:v>
                </c:pt>
                <c:pt idx="6">
                  <c:v>-10114</c:v>
                </c:pt>
                <c:pt idx="7">
                  <c:v>-10114</c:v>
                </c:pt>
                <c:pt idx="8">
                  <c:v>-10112</c:v>
                </c:pt>
                <c:pt idx="9">
                  <c:v>-10104</c:v>
                </c:pt>
                <c:pt idx="10">
                  <c:v>-9676</c:v>
                </c:pt>
                <c:pt idx="11">
                  <c:v>-9672</c:v>
                </c:pt>
                <c:pt idx="12">
                  <c:v>-9501</c:v>
                </c:pt>
                <c:pt idx="13">
                  <c:v>-7472</c:v>
                </c:pt>
                <c:pt idx="14">
                  <c:v>-7439</c:v>
                </c:pt>
                <c:pt idx="15">
                  <c:v>-7118.5</c:v>
                </c:pt>
                <c:pt idx="16">
                  <c:v>-7028</c:v>
                </c:pt>
                <c:pt idx="17">
                  <c:v>-6987.5</c:v>
                </c:pt>
                <c:pt idx="18">
                  <c:v>0</c:v>
                </c:pt>
                <c:pt idx="19">
                  <c:v>484</c:v>
                </c:pt>
                <c:pt idx="20">
                  <c:v>610</c:v>
                </c:pt>
                <c:pt idx="21">
                  <c:v>908</c:v>
                </c:pt>
                <c:pt idx="22">
                  <c:v>941</c:v>
                </c:pt>
                <c:pt idx="23">
                  <c:v>1215.5</c:v>
                </c:pt>
              </c:numCache>
            </c:numRef>
          </c:xVal>
          <c:yVal>
            <c:numRef>
              <c:f>Active!$M$21:$M$440</c:f>
              <c:numCache>
                <c:formatCode>General</c:formatCode>
                <c:ptCount val="4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2E-4D50-AF1D-812347E3BB4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-10628</c:v>
                </c:pt>
                <c:pt idx="1">
                  <c:v>-10532</c:v>
                </c:pt>
                <c:pt idx="2">
                  <c:v>-10385</c:v>
                </c:pt>
                <c:pt idx="3">
                  <c:v>-10355</c:v>
                </c:pt>
                <c:pt idx="4">
                  <c:v>-10114</c:v>
                </c:pt>
                <c:pt idx="5">
                  <c:v>-10114</c:v>
                </c:pt>
                <c:pt idx="6">
                  <c:v>-10114</c:v>
                </c:pt>
                <c:pt idx="7">
                  <c:v>-10114</c:v>
                </c:pt>
                <c:pt idx="8">
                  <c:v>-10112</c:v>
                </c:pt>
                <c:pt idx="9">
                  <c:v>-10104</c:v>
                </c:pt>
                <c:pt idx="10">
                  <c:v>-9676</c:v>
                </c:pt>
                <c:pt idx="11">
                  <c:v>-9672</c:v>
                </c:pt>
                <c:pt idx="12">
                  <c:v>-9501</c:v>
                </c:pt>
                <c:pt idx="13">
                  <c:v>-7472</c:v>
                </c:pt>
                <c:pt idx="14">
                  <c:v>-7439</c:v>
                </c:pt>
                <c:pt idx="15">
                  <c:v>-7118.5</c:v>
                </c:pt>
                <c:pt idx="16">
                  <c:v>-7028</c:v>
                </c:pt>
                <c:pt idx="17">
                  <c:v>-6987.5</c:v>
                </c:pt>
                <c:pt idx="18">
                  <c:v>0</c:v>
                </c:pt>
                <c:pt idx="19">
                  <c:v>484</c:v>
                </c:pt>
                <c:pt idx="20">
                  <c:v>610</c:v>
                </c:pt>
                <c:pt idx="21">
                  <c:v>908</c:v>
                </c:pt>
                <c:pt idx="22">
                  <c:v>941</c:v>
                </c:pt>
                <c:pt idx="23">
                  <c:v>1215.5</c:v>
                </c:pt>
              </c:numCache>
            </c:numRef>
          </c:xVal>
          <c:yVal>
            <c:numRef>
              <c:f>Active!$N$21:$N$440</c:f>
              <c:numCache>
                <c:formatCode>General</c:formatCode>
                <c:ptCount val="4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2E-4D50-AF1D-812347E3BB4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-10628</c:v>
                </c:pt>
                <c:pt idx="1">
                  <c:v>-10532</c:v>
                </c:pt>
                <c:pt idx="2">
                  <c:v>-10385</c:v>
                </c:pt>
                <c:pt idx="3">
                  <c:v>-10355</c:v>
                </c:pt>
                <c:pt idx="4">
                  <c:v>-10114</c:v>
                </c:pt>
                <c:pt idx="5">
                  <c:v>-10114</c:v>
                </c:pt>
                <c:pt idx="6">
                  <c:v>-10114</c:v>
                </c:pt>
                <c:pt idx="7">
                  <c:v>-10114</c:v>
                </c:pt>
                <c:pt idx="8">
                  <c:v>-10112</c:v>
                </c:pt>
                <c:pt idx="9">
                  <c:v>-10104</c:v>
                </c:pt>
                <c:pt idx="10">
                  <c:v>-9676</c:v>
                </c:pt>
                <c:pt idx="11">
                  <c:v>-9672</c:v>
                </c:pt>
                <c:pt idx="12">
                  <c:v>-9501</c:v>
                </c:pt>
                <c:pt idx="13">
                  <c:v>-7472</c:v>
                </c:pt>
                <c:pt idx="14">
                  <c:v>-7439</c:v>
                </c:pt>
                <c:pt idx="15">
                  <c:v>-7118.5</c:v>
                </c:pt>
                <c:pt idx="16">
                  <c:v>-7028</c:v>
                </c:pt>
                <c:pt idx="17">
                  <c:v>-6987.5</c:v>
                </c:pt>
                <c:pt idx="18">
                  <c:v>0</c:v>
                </c:pt>
                <c:pt idx="19">
                  <c:v>484</c:v>
                </c:pt>
                <c:pt idx="20">
                  <c:v>610</c:v>
                </c:pt>
                <c:pt idx="21">
                  <c:v>908</c:v>
                </c:pt>
                <c:pt idx="22">
                  <c:v>941</c:v>
                </c:pt>
                <c:pt idx="23">
                  <c:v>1215.5</c:v>
                </c:pt>
              </c:numCache>
            </c:numRef>
          </c:xVal>
          <c:yVal>
            <c:numRef>
              <c:f>Active!$O$21:$O$440</c:f>
              <c:numCache>
                <c:formatCode>General</c:formatCode>
                <c:ptCount val="420"/>
                <c:pt idx="0">
                  <c:v>8.8663115244749235E-3</c:v>
                </c:pt>
                <c:pt idx="1">
                  <c:v>8.795629051929009E-3</c:v>
                </c:pt>
                <c:pt idx="2">
                  <c:v>8.6873965158430766E-3</c:v>
                </c:pt>
                <c:pt idx="3">
                  <c:v>8.6653082431724787E-3</c:v>
                </c:pt>
                <c:pt idx="4">
                  <c:v>8.4878657860520054E-3</c:v>
                </c:pt>
                <c:pt idx="5">
                  <c:v>8.4878657860520054E-3</c:v>
                </c:pt>
                <c:pt idx="6">
                  <c:v>8.4878657860520054E-3</c:v>
                </c:pt>
                <c:pt idx="7">
                  <c:v>8.4878657860520054E-3</c:v>
                </c:pt>
                <c:pt idx="8">
                  <c:v>8.4863932345406318E-3</c:v>
                </c:pt>
                <c:pt idx="9">
                  <c:v>8.4805030284951372E-3</c:v>
                </c:pt>
                <c:pt idx="10">
                  <c:v>8.1653770050612671E-3</c:v>
                </c:pt>
                <c:pt idx="11">
                  <c:v>8.1624319020385215E-3</c:v>
                </c:pt>
                <c:pt idx="12">
                  <c:v>8.0365287478161088E-3</c:v>
                </c:pt>
                <c:pt idx="13">
                  <c:v>6.5426252395279685E-3</c:v>
                </c:pt>
                <c:pt idx="14">
                  <c:v>6.518328139590311E-3</c:v>
                </c:pt>
                <c:pt idx="15">
                  <c:v>6.2823517598927505E-3</c:v>
                </c:pt>
                <c:pt idx="16">
                  <c:v>6.2157188040031118E-3</c:v>
                </c:pt>
                <c:pt idx="17">
                  <c:v>6.1858996358978039E-3</c:v>
                </c:pt>
                <c:pt idx="18">
                  <c:v>1.0411727930375852E-3</c:v>
                </c:pt>
                <c:pt idx="19">
                  <c:v>6.8481532728526375E-4</c:v>
                </c:pt>
                <c:pt idx="20">
                  <c:v>5.9204458206875031E-4</c:v>
                </c:pt>
                <c:pt idx="21">
                  <c:v>3.7263440687413925E-4</c:v>
                </c:pt>
                <c:pt idx="22">
                  <c:v>3.4833730693648089E-4</c:v>
                </c:pt>
                <c:pt idx="23">
                  <c:v>1.4622961200050529E-4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2E-4D50-AF1D-812347E3B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300992"/>
        <c:axId val="1"/>
      </c:scatterChart>
      <c:valAx>
        <c:axId val="684300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605571893874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4819277108432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3009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31341112481421"/>
          <c:y val="0.91591875339906836"/>
          <c:w val="0.73945830566359927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Psc - O-C Diagr.</a:t>
            </a:r>
          </a:p>
        </c:rich>
      </c:tx>
      <c:layout>
        <c:manualLayout>
          <c:xMode val="edge"/>
          <c:yMode val="edge"/>
          <c:x val="0.3828835134346945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13711776127"/>
          <c:y val="0.16566897700661667"/>
          <c:w val="0.8194366793259753"/>
          <c:h val="0.618763103713832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-10628</c:v>
                </c:pt>
                <c:pt idx="1">
                  <c:v>-10532</c:v>
                </c:pt>
                <c:pt idx="2">
                  <c:v>-10385</c:v>
                </c:pt>
                <c:pt idx="3">
                  <c:v>-10355</c:v>
                </c:pt>
                <c:pt idx="4">
                  <c:v>-10114</c:v>
                </c:pt>
                <c:pt idx="5">
                  <c:v>-10114</c:v>
                </c:pt>
                <c:pt idx="6">
                  <c:v>-10114</c:v>
                </c:pt>
                <c:pt idx="7">
                  <c:v>-10114</c:v>
                </c:pt>
                <c:pt idx="8">
                  <c:v>-10112</c:v>
                </c:pt>
                <c:pt idx="9">
                  <c:v>-10104</c:v>
                </c:pt>
                <c:pt idx="10">
                  <c:v>-9676</c:v>
                </c:pt>
                <c:pt idx="11">
                  <c:v>-9672</c:v>
                </c:pt>
                <c:pt idx="12">
                  <c:v>-9501</c:v>
                </c:pt>
                <c:pt idx="13">
                  <c:v>-7472</c:v>
                </c:pt>
                <c:pt idx="14">
                  <c:v>-7439</c:v>
                </c:pt>
                <c:pt idx="15">
                  <c:v>-7118.5</c:v>
                </c:pt>
                <c:pt idx="16">
                  <c:v>-7028</c:v>
                </c:pt>
                <c:pt idx="17">
                  <c:v>-6987.5</c:v>
                </c:pt>
                <c:pt idx="18">
                  <c:v>0</c:v>
                </c:pt>
                <c:pt idx="19">
                  <c:v>484</c:v>
                </c:pt>
                <c:pt idx="20">
                  <c:v>610</c:v>
                </c:pt>
                <c:pt idx="21">
                  <c:v>908</c:v>
                </c:pt>
                <c:pt idx="22">
                  <c:v>941</c:v>
                </c:pt>
                <c:pt idx="23">
                  <c:v>1215.5</c:v>
                </c:pt>
              </c:numCache>
            </c:numRef>
          </c:xVal>
          <c:yVal>
            <c:numRef>
              <c:f>Active!$H$21:$H$440</c:f>
              <c:numCache>
                <c:formatCode>General</c:formatCode>
                <c:ptCount val="420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0D-49B4-B0B1-DC7B5BC4551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-10628</c:v>
                </c:pt>
                <c:pt idx="1">
                  <c:v>-10532</c:v>
                </c:pt>
                <c:pt idx="2">
                  <c:v>-10385</c:v>
                </c:pt>
                <c:pt idx="3">
                  <c:v>-10355</c:v>
                </c:pt>
                <c:pt idx="4">
                  <c:v>-10114</c:v>
                </c:pt>
                <c:pt idx="5">
                  <c:v>-10114</c:v>
                </c:pt>
                <c:pt idx="6">
                  <c:v>-10114</c:v>
                </c:pt>
                <c:pt idx="7">
                  <c:v>-10114</c:v>
                </c:pt>
                <c:pt idx="8">
                  <c:v>-10112</c:v>
                </c:pt>
                <c:pt idx="9">
                  <c:v>-10104</c:v>
                </c:pt>
                <c:pt idx="10">
                  <c:v>-9676</c:v>
                </c:pt>
                <c:pt idx="11">
                  <c:v>-9672</c:v>
                </c:pt>
                <c:pt idx="12">
                  <c:v>-9501</c:v>
                </c:pt>
                <c:pt idx="13">
                  <c:v>-7472</c:v>
                </c:pt>
                <c:pt idx="14">
                  <c:v>-7439</c:v>
                </c:pt>
                <c:pt idx="15">
                  <c:v>-7118.5</c:v>
                </c:pt>
                <c:pt idx="16">
                  <c:v>-7028</c:v>
                </c:pt>
                <c:pt idx="17">
                  <c:v>-6987.5</c:v>
                </c:pt>
                <c:pt idx="18">
                  <c:v>0</c:v>
                </c:pt>
                <c:pt idx="19">
                  <c:v>484</c:v>
                </c:pt>
                <c:pt idx="20">
                  <c:v>610</c:v>
                </c:pt>
                <c:pt idx="21">
                  <c:v>908</c:v>
                </c:pt>
                <c:pt idx="22">
                  <c:v>941</c:v>
                </c:pt>
                <c:pt idx="23">
                  <c:v>1215.5</c:v>
                </c:pt>
              </c:numCache>
            </c:numRef>
          </c:xVal>
          <c:yVal>
            <c:numRef>
              <c:f>Active!$I$21:$I$440</c:f>
              <c:numCache>
                <c:formatCode>General</c:formatCode>
                <c:ptCount val="420"/>
                <c:pt idx="0">
                  <c:v>5.6196000001364155E-2</c:v>
                </c:pt>
                <c:pt idx="1">
                  <c:v>7.6924000000872184E-2</c:v>
                </c:pt>
                <c:pt idx="2">
                  <c:v>-5.1054999999905704E-2</c:v>
                </c:pt>
                <c:pt idx="3">
                  <c:v>4.7234999998181593E-2</c:v>
                </c:pt>
                <c:pt idx="4">
                  <c:v>-5.9301999997842358E-2</c:v>
                </c:pt>
                <c:pt idx="5">
                  <c:v>-3.7302000000636326E-2</c:v>
                </c:pt>
                <c:pt idx="6">
                  <c:v>-1.5301999999792315E-2</c:v>
                </c:pt>
                <c:pt idx="7">
                  <c:v>4.6980000006442424E-3</c:v>
                </c:pt>
                <c:pt idx="8">
                  <c:v>-1.0016000000177883E-2</c:v>
                </c:pt>
                <c:pt idx="9">
                  <c:v>8.8127999999414897E-2</c:v>
                </c:pt>
                <c:pt idx="10">
                  <c:v>1.3332000002264977E-2</c:v>
                </c:pt>
                <c:pt idx="11">
                  <c:v>8.6903999999776715E-2</c:v>
                </c:pt>
                <c:pt idx="12">
                  <c:v>1.0357000002841232E-2</c:v>
                </c:pt>
                <c:pt idx="13">
                  <c:v>-5.5496000000857748E-2</c:v>
                </c:pt>
                <c:pt idx="14">
                  <c:v>-0.34977699999581091</c:v>
                </c:pt>
                <c:pt idx="15">
                  <c:v>0.25355449999915436</c:v>
                </c:pt>
                <c:pt idx="16">
                  <c:v>0.13199599999643397</c:v>
                </c:pt>
                <c:pt idx="17">
                  <c:v>-7.0712500004447065E-2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0D-49B4-B0B1-DC7B5BC4551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-10628</c:v>
                </c:pt>
                <c:pt idx="1">
                  <c:v>-10532</c:v>
                </c:pt>
                <c:pt idx="2">
                  <c:v>-10385</c:v>
                </c:pt>
                <c:pt idx="3">
                  <c:v>-10355</c:v>
                </c:pt>
                <c:pt idx="4">
                  <c:v>-10114</c:v>
                </c:pt>
                <c:pt idx="5">
                  <c:v>-10114</c:v>
                </c:pt>
                <c:pt idx="6">
                  <c:v>-10114</c:v>
                </c:pt>
                <c:pt idx="7">
                  <c:v>-10114</c:v>
                </c:pt>
                <c:pt idx="8">
                  <c:v>-10112</c:v>
                </c:pt>
                <c:pt idx="9">
                  <c:v>-10104</c:v>
                </c:pt>
                <c:pt idx="10">
                  <c:v>-9676</c:v>
                </c:pt>
                <c:pt idx="11">
                  <c:v>-9672</c:v>
                </c:pt>
                <c:pt idx="12">
                  <c:v>-9501</c:v>
                </c:pt>
                <c:pt idx="13">
                  <c:v>-7472</c:v>
                </c:pt>
                <c:pt idx="14">
                  <c:v>-7439</c:v>
                </c:pt>
                <c:pt idx="15">
                  <c:v>-7118.5</c:v>
                </c:pt>
                <c:pt idx="16">
                  <c:v>-7028</c:v>
                </c:pt>
                <c:pt idx="17">
                  <c:v>-6987.5</c:v>
                </c:pt>
                <c:pt idx="18">
                  <c:v>0</c:v>
                </c:pt>
                <c:pt idx="19">
                  <c:v>484</c:v>
                </c:pt>
                <c:pt idx="20">
                  <c:v>610</c:v>
                </c:pt>
                <c:pt idx="21">
                  <c:v>908</c:v>
                </c:pt>
                <c:pt idx="22">
                  <c:v>941</c:v>
                </c:pt>
                <c:pt idx="23">
                  <c:v>1215.5</c:v>
                </c:pt>
              </c:numCache>
            </c:numRef>
          </c:xVal>
          <c:yVal>
            <c:numRef>
              <c:f>Active!$J$21:$J$440</c:f>
              <c:numCache>
                <c:formatCode>General</c:formatCode>
                <c:ptCount val="420"/>
                <c:pt idx="19">
                  <c:v>7.2120000040740706E-3</c:v>
                </c:pt>
                <c:pt idx="20">
                  <c:v>1.1129999998956919E-2</c:v>
                </c:pt>
                <c:pt idx="21">
                  <c:v>2.0440000007511117E-3</c:v>
                </c:pt>
                <c:pt idx="22">
                  <c:v>3.6299999919719994E-4</c:v>
                </c:pt>
                <c:pt idx="23">
                  <c:v>4.1165000002365559E-3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0D-49B4-B0B1-DC7B5BC4551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-10628</c:v>
                </c:pt>
                <c:pt idx="1">
                  <c:v>-10532</c:v>
                </c:pt>
                <c:pt idx="2">
                  <c:v>-10385</c:v>
                </c:pt>
                <c:pt idx="3">
                  <c:v>-10355</c:v>
                </c:pt>
                <c:pt idx="4">
                  <c:v>-10114</c:v>
                </c:pt>
                <c:pt idx="5">
                  <c:v>-10114</c:v>
                </c:pt>
                <c:pt idx="6">
                  <c:v>-10114</c:v>
                </c:pt>
                <c:pt idx="7">
                  <c:v>-10114</c:v>
                </c:pt>
                <c:pt idx="8">
                  <c:v>-10112</c:v>
                </c:pt>
                <c:pt idx="9">
                  <c:v>-10104</c:v>
                </c:pt>
                <c:pt idx="10">
                  <c:v>-9676</c:v>
                </c:pt>
                <c:pt idx="11">
                  <c:v>-9672</c:v>
                </c:pt>
                <c:pt idx="12">
                  <c:v>-9501</c:v>
                </c:pt>
                <c:pt idx="13">
                  <c:v>-7472</c:v>
                </c:pt>
                <c:pt idx="14">
                  <c:v>-7439</c:v>
                </c:pt>
                <c:pt idx="15">
                  <c:v>-7118.5</c:v>
                </c:pt>
                <c:pt idx="16">
                  <c:v>-7028</c:v>
                </c:pt>
                <c:pt idx="17">
                  <c:v>-6987.5</c:v>
                </c:pt>
                <c:pt idx="18">
                  <c:v>0</c:v>
                </c:pt>
                <c:pt idx="19">
                  <c:v>484</c:v>
                </c:pt>
                <c:pt idx="20">
                  <c:v>610</c:v>
                </c:pt>
                <c:pt idx="21">
                  <c:v>908</c:v>
                </c:pt>
                <c:pt idx="22">
                  <c:v>941</c:v>
                </c:pt>
                <c:pt idx="23">
                  <c:v>1215.5</c:v>
                </c:pt>
              </c:numCache>
            </c:numRef>
          </c:xVal>
          <c:yVal>
            <c:numRef>
              <c:f>Active!$K$21:$K$440</c:f>
              <c:numCache>
                <c:formatCode>General</c:formatCode>
                <c:ptCount val="4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0D-49B4-B0B1-DC7B5BC4551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-10628</c:v>
                </c:pt>
                <c:pt idx="1">
                  <c:v>-10532</c:v>
                </c:pt>
                <c:pt idx="2">
                  <c:v>-10385</c:v>
                </c:pt>
                <c:pt idx="3">
                  <c:v>-10355</c:v>
                </c:pt>
                <c:pt idx="4">
                  <c:v>-10114</c:v>
                </c:pt>
                <c:pt idx="5">
                  <c:v>-10114</c:v>
                </c:pt>
                <c:pt idx="6">
                  <c:v>-10114</c:v>
                </c:pt>
                <c:pt idx="7">
                  <c:v>-10114</c:v>
                </c:pt>
                <c:pt idx="8">
                  <c:v>-10112</c:v>
                </c:pt>
                <c:pt idx="9">
                  <c:v>-10104</c:v>
                </c:pt>
                <c:pt idx="10">
                  <c:v>-9676</c:v>
                </c:pt>
                <c:pt idx="11">
                  <c:v>-9672</c:v>
                </c:pt>
                <c:pt idx="12">
                  <c:v>-9501</c:v>
                </c:pt>
                <c:pt idx="13">
                  <c:v>-7472</c:v>
                </c:pt>
                <c:pt idx="14">
                  <c:v>-7439</c:v>
                </c:pt>
                <c:pt idx="15">
                  <c:v>-7118.5</c:v>
                </c:pt>
                <c:pt idx="16">
                  <c:v>-7028</c:v>
                </c:pt>
                <c:pt idx="17">
                  <c:v>-6987.5</c:v>
                </c:pt>
                <c:pt idx="18">
                  <c:v>0</c:v>
                </c:pt>
                <c:pt idx="19">
                  <c:v>484</c:v>
                </c:pt>
                <c:pt idx="20">
                  <c:v>610</c:v>
                </c:pt>
                <c:pt idx="21">
                  <c:v>908</c:v>
                </c:pt>
                <c:pt idx="22">
                  <c:v>941</c:v>
                </c:pt>
                <c:pt idx="23">
                  <c:v>1215.5</c:v>
                </c:pt>
              </c:numCache>
            </c:numRef>
          </c:xVal>
          <c:yVal>
            <c:numRef>
              <c:f>Active!$L$21:$L$440</c:f>
              <c:numCache>
                <c:formatCode>General</c:formatCode>
                <c:ptCount val="4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0D-49B4-B0B1-DC7B5BC455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-10628</c:v>
                </c:pt>
                <c:pt idx="1">
                  <c:v>-10532</c:v>
                </c:pt>
                <c:pt idx="2">
                  <c:v>-10385</c:v>
                </c:pt>
                <c:pt idx="3">
                  <c:v>-10355</c:v>
                </c:pt>
                <c:pt idx="4">
                  <c:v>-10114</c:v>
                </c:pt>
                <c:pt idx="5">
                  <c:v>-10114</c:v>
                </c:pt>
                <c:pt idx="6">
                  <c:v>-10114</c:v>
                </c:pt>
                <c:pt idx="7">
                  <c:v>-10114</c:v>
                </c:pt>
                <c:pt idx="8">
                  <c:v>-10112</c:v>
                </c:pt>
                <c:pt idx="9">
                  <c:v>-10104</c:v>
                </c:pt>
                <c:pt idx="10">
                  <c:v>-9676</c:v>
                </c:pt>
                <c:pt idx="11">
                  <c:v>-9672</c:v>
                </c:pt>
                <c:pt idx="12">
                  <c:v>-9501</c:v>
                </c:pt>
                <c:pt idx="13">
                  <c:v>-7472</c:v>
                </c:pt>
                <c:pt idx="14">
                  <c:v>-7439</c:v>
                </c:pt>
                <c:pt idx="15">
                  <c:v>-7118.5</c:v>
                </c:pt>
                <c:pt idx="16">
                  <c:v>-7028</c:v>
                </c:pt>
                <c:pt idx="17">
                  <c:v>-6987.5</c:v>
                </c:pt>
                <c:pt idx="18">
                  <c:v>0</c:v>
                </c:pt>
                <c:pt idx="19">
                  <c:v>484</c:v>
                </c:pt>
                <c:pt idx="20">
                  <c:v>610</c:v>
                </c:pt>
                <c:pt idx="21">
                  <c:v>908</c:v>
                </c:pt>
                <c:pt idx="22">
                  <c:v>941</c:v>
                </c:pt>
                <c:pt idx="23">
                  <c:v>1215.5</c:v>
                </c:pt>
              </c:numCache>
            </c:numRef>
          </c:xVal>
          <c:yVal>
            <c:numRef>
              <c:f>Active!$M$21:$M$440</c:f>
              <c:numCache>
                <c:formatCode>General</c:formatCode>
                <c:ptCount val="4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0D-49B4-B0B1-DC7B5BC455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-10628</c:v>
                </c:pt>
                <c:pt idx="1">
                  <c:v>-10532</c:v>
                </c:pt>
                <c:pt idx="2">
                  <c:v>-10385</c:v>
                </c:pt>
                <c:pt idx="3">
                  <c:v>-10355</c:v>
                </c:pt>
                <c:pt idx="4">
                  <c:v>-10114</c:v>
                </c:pt>
                <c:pt idx="5">
                  <c:v>-10114</c:v>
                </c:pt>
                <c:pt idx="6">
                  <c:v>-10114</c:v>
                </c:pt>
                <c:pt idx="7">
                  <c:v>-10114</c:v>
                </c:pt>
                <c:pt idx="8">
                  <c:v>-10112</c:v>
                </c:pt>
                <c:pt idx="9">
                  <c:v>-10104</c:v>
                </c:pt>
                <c:pt idx="10">
                  <c:v>-9676</c:v>
                </c:pt>
                <c:pt idx="11">
                  <c:v>-9672</c:v>
                </c:pt>
                <c:pt idx="12">
                  <c:v>-9501</c:v>
                </c:pt>
                <c:pt idx="13">
                  <c:v>-7472</c:v>
                </c:pt>
                <c:pt idx="14">
                  <c:v>-7439</c:v>
                </c:pt>
                <c:pt idx="15">
                  <c:v>-7118.5</c:v>
                </c:pt>
                <c:pt idx="16">
                  <c:v>-7028</c:v>
                </c:pt>
                <c:pt idx="17">
                  <c:v>-6987.5</c:v>
                </c:pt>
                <c:pt idx="18">
                  <c:v>0</c:v>
                </c:pt>
                <c:pt idx="19">
                  <c:v>484</c:v>
                </c:pt>
                <c:pt idx="20">
                  <c:v>610</c:v>
                </c:pt>
                <c:pt idx="21">
                  <c:v>908</c:v>
                </c:pt>
                <c:pt idx="22">
                  <c:v>941</c:v>
                </c:pt>
                <c:pt idx="23">
                  <c:v>1215.5</c:v>
                </c:pt>
              </c:numCache>
            </c:numRef>
          </c:xVal>
          <c:yVal>
            <c:numRef>
              <c:f>Active!$N$21:$N$440</c:f>
              <c:numCache>
                <c:formatCode>General</c:formatCode>
                <c:ptCount val="4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0D-49B4-B0B1-DC7B5BC455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-10628</c:v>
                </c:pt>
                <c:pt idx="1">
                  <c:v>-10532</c:v>
                </c:pt>
                <c:pt idx="2">
                  <c:v>-10385</c:v>
                </c:pt>
                <c:pt idx="3">
                  <c:v>-10355</c:v>
                </c:pt>
                <c:pt idx="4">
                  <c:v>-10114</c:v>
                </c:pt>
                <c:pt idx="5">
                  <c:v>-10114</c:v>
                </c:pt>
                <c:pt idx="6">
                  <c:v>-10114</c:v>
                </c:pt>
                <c:pt idx="7">
                  <c:v>-10114</c:v>
                </c:pt>
                <c:pt idx="8">
                  <c:v>-10112</c:v>
                </c:pt>
                <c:pt idx="9">
                  <c:v>-10104</c:v>
                </c:pt>
                <c:pt idx="10">
                  <c:v>-9676</c:v>
                </c:pt>
                <c:pt idx="11">
                  <c:v>-9672</c:v>
                </c:pt>
                <c:pt idx="12">
                  <c:v>-9501</c:v>
                </c:pt>
                <c:pt idx="13">
                  <c:v>-7472</c:v>
                </c:pt>
                <c:pt idx="14">
                  <c:v>-7439</c:v>
                </c:pt>
                <c:pt idx="15">
                  <c:v>-7118.5</c:v>
                </c:pt>
                <c:pt idx="16">
                  <c:v>-7028</c:v>
                </c:pt>
                <c:pt idx="17">
                  <c:v>-6987.5</c:v>
                </c:pt>
                <c:pt idx="18">
                  <c:v>0</c:v>
                </c:pt>
                <c:pt idx="19">
                  <c:v>484</c:v>
                </c:pt>
                <c:pt idx="20">
                  <c:v>610</c:v>
                </c:pt>
                <c:pt idx="21">
                  <c:v>908</c:v>
                </c:pt>
                <c:pt idx="22">
                  <c:v>941</c:v>
                </c:pt>
                <c:pt idx="23">
                  <c:v>1215.5</c:v>
                </c:pt>
              </c:numCache>
            </c:numRef>
          </c:xVal>
          <c:yVal>
            <c:numRef>
              <c:f>Active!$O$21:$O$440</c:f>
              <c:numCache>
                <c:formatCode>General</c:formatCode>
                <c:ptCount val="420"/>
                <c:pt idx="0">
                  <c:v>8.8663115244749235E-3</c:v>
                </c:pt>
                <c:pt idx="1">
                  <c:v>8.795629051929009E-3</c:v>
                </c:pt>
                <c:pt idx="2">
                  <c:v>8.6873965158430766E-3</c:v>
                </c:pt>
                <c:pt idx="3">
                  <c:v>8.6653082431724787E-3</c:v>
                </c:pt>
                <c:pt idx="4">
                  <c:v>8.4878657860520054E-3</c:v>
                </c:pt>
                <c:pt idx="5">
                  <c:v>8.4878657860520054E-3</c:v>
                </c:pt>
                <c:pt idx="6">
                  <c:v>8.4878657860520054E-3</c:v>
                </c:pt>
                <c:pt idx="7">
                  <c:v>8.4878657860520054E-3</c:v>
                </c:pt>
                <c:pt idx="8">
                  <c:v>8.4863932345406318E-3</c:v>
                </c:pt>
                <c:pt idx="9">
                  <c:v>8.4805030284951372E-3</c:v>
                </c:pt>
                <c:pt idx="10">
                  <c:v>8.1653770050612671E-3</c:v>
                </c:pt>
                <c:pt idx="11">
                  <c:v>8.1624319020385215E-3</c:v>
                </c:pt>
                <c:pt idx="12">
                  <c:v>8.0365287478161088E-3</c:v>
                </c:pt>
                <c:pt idx="13">
                  <c:v>6.5426252395279685E-3</c:v>
                </c:pt>
                <c:pt idx="14">
                  <c:v>6.518328139590311E-3</c:v>
                </c:pt>
                <c:pt idx="15">
                  <c:v>6.2823517598927505E-3</c:v>
                </c:pt>
                <c:pt idx="16">
                  <c:v>6.2157188040031118E-3</c:v>
                </c:pt>
                <c:pt idx="17">
                  <c:v>6.1858996358978039E-3</c:v>
                </c:pt>
                <c:pt idx="18">
                  <c:v>1.0411727930375852E-3</c:v>
                </c:pt>
                <c:pt idx="19">
                  <c:v>6.8481532728526375E-4</c:v>
                </c:pt>
                <c:pt idx="20">
                  <c:v>5.9204458206875031E-4</c:v>
                </c:pt>
                <c:pt idx="21">
                  <c:v>3.7263440687413925E-4</c:v>
                </c:pt>
                <c:pt idx="22">
                  <c:v>3.4833730693648089E-4</c:v>
                </c:pt>
                <c:pt idx="23">
                  <c:v>1.4622961200050529E-4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0D-49B4-B0B1-DC7B5BC45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417600"/>
        <c:axId val="1"/>
      </c:scatterChart>
      <c:valAx>
        <c:axId val="67241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51129870027512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31138353214830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417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6970119726025"/>
          <c:y val="0.91616892199852262"/>
          <c:w val="0.73723834070290761"/>
          <c:h val="6.58682634730538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1104899</xdr:colOff>
      <xdr:row>0</xdr:row>
      <xdr:rowOff>0</xdr:rowOff>
    </xdr:from>
    <xdr:to>
      <xdr:col>17</xdr:col>
      <xdr:colOff>133349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5171A7F-CC34-11CC-C2B5-9719DF23A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352425</xdr:colOff>
      <xdr:row>0</xdr:row>
      <xdr:rowOff>0</xdr:rowOff>
    </xdr:from>
    <xdr:to>
      <xdr:col>27</xdr:col>
      <xdr:colOff>228600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F487012-EBAF-A6D4-0E71-F719C426F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www.bav-astro.de/sfs/BAVM_link.php?BAVMnr=183" TargetMode="External"/><Relationship Id="rId1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pane xSplit="14" ySplit="23" topLeftCell="O24" activePane="bottomRight" state="frozen"/>
      <selection pane="topRight" activeCell="O1" sqref="O1"/>
      <selection pane="bottomLeft" activeCell="A24" sqref="A24"/>
      <selection pane="bottomRight" activeCell="E7" sqref="E7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5703125" style="1" customWidth="1"/>
    <col min="6" max="6" width="9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1.5703125" style="1" customWidth="1"/>
    <col min="18" max="16384" width="10.28515625" style="31"/>
  </cols>
  <sheetData>
    <row r="1" spans="1:8" ht="20.25" x14ac:dyDescent="0.3">
      <c r="A1" s="2" t="s">
        <v>0</v>
      </c>
      <c r="F1" s="3">
        <v>52500.04</v>
      </c>
      <c r="G1" s="3">
        <v>2.4908570000000001</v>
      </c>
      <c r="H1" s="3" t="s">
        <v>1</v>
      </c>
    </row>
    <row r="2" spans="1:8" s="31" customFormat="1" ht="12.95" customHeight="1" x14ac:dyDescent="0.2">
      <c r="A2" s="31" t="s">
        <v>2</v>
      </c>
      <c r="B2" s="31" t="str">
        <f>H1</f>
        <v xml:space="preserve">EA/DM     </v>
      </c>
      <c r="C2" s="32"/>
      <c r="D2" s="32"/>
      <c r="F2" s="33"/>
    </row>
    <row r="3" spans="1:8" s="31" customFormat="1" ht="12.95" customHeight="1" x14ac:dyDescent="0.2">
      <c r="F3" s="33"/>
    </row>
    <row r="4" spans="1:8" s="31" customFormat="1" ht="12.95" customHeight="1" x14ac:dyDescent="0.2">
      <c r="A4" s="34" t="s">
        <v>3</v>
      </c>
      <c r="C4" s="35">
        <f>F1</f>
        <v>52500.04</v>
      </c>
      <c r="D4" s="36">
        <f>G1</f>
        <v>2.4908570000000001</v>
      </c>
      <c r="F4" s="33"/>
    </row>
    <row r="5" spans="1:8" s="31" customFormat="1" ht="12.95" customHeight="1" x14ac:dyDescent="0.2">
      <c r="C5" s="37" t="s">
        <v>4</v>
      </c>
      <c r="F5" s="33"/>
    </row>
    <row r="6" spans="1:8" s="31" customFormat="1" ht="12.95" customHeight="1" x14ac:dyDescent="0.2">
      <c r="A6" s="34" t="s">
        <v>5</v>
      </c>
      <c r="F6" s="33"/>
    </row>
    <row r="7" spans="1:8" s="31" customFormat="1" ht="12.95" customHeight="1" x14ac:dyDescent="0.2">
      <c r="A7" s="31" t="s">
        <v>6</v>
      </c>
      <c r="C7" s="31">
        <f>C4</f>
        <v>52500.04</v>
      </c>
      <c r="F7" s="33"/>
    </row>
    <row r="8" spans="1:8" s="31" customFormat="1" ht="12.95" customHeight="1" x14ac:dyDescent="0.2">
      <c r="A8" s="31" t="s">
        <v>7</v>
      </c>
      <c r="C8" s="31">
        <f>D4</f>
        <v>2.4908570000000001</v>
      </c>
      <c r="D8" s="38"/>
      <c r="F8" s="33"/>
    </row>
    <row r="9" spans="1:8" s="31" customFormat="1" ht="12.95" customHeight="1" x14ac:dyDescent="0.2">
      <c r="A9" s="39" t="s">
        <v>8</v>
      </c>
      <c r="B9" s="33"/>
      <c r="C9" s="40">
        <v>-9.5</v>
      </c>
      <c r="D9" s="33" t="s">
        <v>9</v>
      </c>
      <c r="E9" s="33"/>
      <c r="F9" s="33"/>
    </row>
    <row r="10" spans="1:8" s="31" customFormat="1" ht="12.95" customHeight="1" x14ac:dyDescent="0.2">
      <c r="A10" s="33"/>
      <c r="B10" s="33"/>
      <c r="C10" s="41" t="s">
        <v>10</v>
      </c>
      <c r="D10" s="41" t="s">
        <v>11</v>
      </c>
      <c r="E10" s="33"/>
      <c r="F10" s="33"/>
    </row>
    <row r="11" spans="1:8" s="31" customFormat="1" ht="12.95" customHeight="1" x14ac:dyDescent="0.2">
      <c r="A11" s="33" t="s">
        <v>12</v>
      </c>
      <c r="B11" s="33"/>
      <c r="C11" s="42">
        <f ca="1">INTERCEPT(INDIRECT($G$11):G992,INDIRECT($F$11):F992)</f>
        <v>1.0411727930375852E-3</v>
      </c>
      <c r="D11" s="43"/>
      <c r="E11" s="33"/>
      <c r="F11" s="44" t="str">
        <f>"F"&amp;E19</f>
        <v>F21</v>
      </c>
      <c r="G11" s="45" t="str">
        <f>"G"&amp;E19</f>
        <v>G21</v>
      </c>
    </row>
    <row r="12" spans="1:8" s="31" customFormat="1" ht="12.95" customHeight="1" x14ac:dyDescent="0.2">
      <c r="A12" s="33" t="s">
        <v>13</v>
      </c>
      <c r="B12" s="33"/>
      <c r="C12" s="42">
        <f ca="1">SLOPE(INDIRECT($G$11):G992,INDIRECT($F$11):F992)</f>
        <v>-7.3627575568661452E-7</v>
      </c>
      <c r="D12" s="43"/>
      <c r="E12" s="33"/>
      <c r="F12" s="33"/>
    </row>
    <row r="13" spans="1:8" s="31" customFormat="1" ht="12.95" customHeight="1" x14ac:dyDescent="0.2">
      <c r="A13" s="33" t="s">
        <v>14</v>
      </c>
      <c r="B13" s="33"/>
      <c r="C13" s="43" t="s">
        <v>15</v>
      </c>
      <c r="D13" s="46" t="s">
        <v>16</v>
      </c>
      <c r="E13" s="40">
        <v>1</v>
      </c>
      <c r="F13" s="33"/>
    </row>
    <row r="14" spans="1:8" s="31" customFormat="1" ht="12.95" customHeight="1" x14ac:dyDescent="0.2">
      <c r="A14" s="33"/>
      <c r="B14" s="33"/>
      <c r="C14" s="33"/>
      <c r="D14" s="46" t="s">
        <v>17</v>
      </c>
      <c r="E14" s="42">
        <f ca="1">NOW()+15018.5+$C$9/24</f>
        <v>60373.763913888884</v>
      </c>
      <c r="F14" s="33"/>
    </row>
    <row r="15" spans="1:8" s="31" customFormat="1" ht="12.95" customHeight="1" x14ac:dyDescent="0.2">
      <c r="A15" s="47" t="s">
        <v>18</v>
      </c>
      <c r="B15" s="33"/>
      <c r="C15" s="48">
        <f ca="1">(C7+C11)+(C8+C12)*INT(MAX(F21:F3533))</f>
        <v>55526.431401597751</v>
      </c>
      <c r="D15" s="46" t="s">
        <v>19</v>
      </c>
      <c r="E15" s="42">
        <f ca="1">ROUND(2*(E14-$C$7)/$C$8,0)/2+E13</f>
        <v>3162</v>
      </c>
      <c r="F15" s="33"/>
    </row>
    <row r="16" spans="1:8" s="31" customFormat="1" ht="12.95" customHeight="1" x14ac:dyDescent="0.2">
      <c r="A16" s="47" t="s">
        <v>20</v>
      </c>
      <c r="B16" s="33"/>
      <c r="C16" s="48">
        <f ca="1">+C8+C12</f>
        <v>2.4908562637242446</v>
      </c>
      <c r="D16" s="46" t="s">
        <v>21</v>
      </c>
      <c r="E16" s="45">
        <f ca="1">ROUND(2*(E14-$C$15)/$C$16,0)/2+E13</f>
        <v>1947</v>
      </c>
      <c r="F16" s="33"/>
    </row>
    <row r="17" spans="1:17" ht="12.95" customHeight="1" x14ac:dyDescent="0.2">
      <c r="A17" s="46" t="s">
        <v>22</v>
      </c>
      <c r="B17" s="33"/>
      <c r="C17" s="33">
        <f>COUNT(C21:C2191)</f>
        <v>24</v>
      </c>
      <c r="D17" s="46" t="s">
        <v>23</v>
      </c>
      <c r="E17" s="49">
        <f ca="1">+$C$15+$C$16*E16-15018.5-$C$9/24</f>
        <v>45358.024380402188</v>
      </c>
      <c r="F17" s="33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12.95" customHeight="1" x14ac:dyDescent="0.2">
      <c r="A18" s="47" t="s">
        <v>24</v>
      </c>
      <c r="B18" s="33"/>
      <c r="C18" s="50">
        <f ca="1">+C15</f>
        <v>55526.431401597751</v>
      </c>
      <c r="D18" s="51">
        <f ca="1">+C16</f>
        <v>2.4908562637242446</v>
      </c>
      <c r="E18" s="52" t="s">
        <v>25</v>
      </c>
      <c r="F18" s="33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ht="12.95" customHeight="1" x14ac:dyDescent="0.2">
      <c r="A19" s="53" t="s">
        <v>26</v>
      </c>
      <c r="B19" s="31"/>
      <c r="C19" s="31"/>
      <c r="D19" s="31"/>
      <c r="E19" s="54">
        <v>21</v>
      </c>
      <c r="F19" s="33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ht="12.95" customHeight="1" x14ac:dyDescent="0.2">
      <c r="A20" s="55" t="s">
        <v>27</v>
      </c>
      <c r="B20" s="55" t="s">
        <v>28</v>
      </c>
      <c r="C20" s="55" t="s">
        <v>29</v>
      </c>
      <c r="D20" s="55" t="s">
        <v>30</v>
      </c>
      <c r="E20" s="55" t="s">
        <v>31</v>
      </c>
      <c r="F20" s="55" t="s">
        <v>32</v>
      </c>
      <c r="G20" s="55" t="s">
        <v>33</v>
      </c>
      <c r="H20" s="56" t="s">
        <v>34</v>
      </c>
      <c r="I20" s="56" t="s">
        <v>144</v>
      </c>
      <c r="J20" s="56" t="s">
        <v>52</v>
      </c>
      <c r="K20" s="56" t="s">
        <v>35</v>
      </c>
      <c r="L20" s="56" t="s">
        <v>36</v>
      </c>
      <c r="M20" s="56" t="s">
        <v>37</v>
      </c>
      <c r="N20" s="56" t="s">
        <v>38</v>
      </c>
      <c r="O20" s="56" t="s">
        <v>39</v>
      </c>
      <c r="P20" s="56" t="s">
        <v>40</v>
      </c>
      <c r="Q20" s="55" t="s">
        <v>41</v>
      </c>
    </row>
    <row r="21" spans="1:17" ht="0" hidden="1" customHeight="1" x14ac:dyDescent="0.2">
      <c r="A21" s="13" t="s">
        <v>47</v>
      </c>
      <c r="B21" s="14" t="s">
        <v>42</v>
      </c>
      <c r="C21" s="15">
        <v>26027.268</v>
      </c>
      <c r="D21" s="16"/>
      <c r="E21" s="1">
        <f>+(C21-C$7)/C$8</f>
        <v>-10627.97743909024</v>
      </c>
      <c r="F21" s="1">
        <f>ROUND(2*E21,0)/2</f>
        <v>-10628</v>
      </c>
      <c r="G21" s="1">
        <f>+C21-(C$7+F21*C$8)</f>
        <v>5.6196000001364155E-2</v>
      </c>
      <c r="I21" s="1">
        <f>+G21</f>
        <v>5.6196000001364155E-2</v>
      </c>
      <c r="O21" s="1">
        <f ca="1">+C$11+C$12*$F21</f>
        <v>8.8663115244749235E-3</v>
      </c>
      <c r="Q21" s="30">
        <f>+C21-15018.5</f>
        <v>11008.768</v>
      </c>
    </row>
    <row r="22" spans="1:17" ht="12.95" customHeight="1" x14ac:dyDescent="0.2">
      <c r="A22" s="13" t="s">
        <v>47</v>
      </c>
      <c r="B22" s="14" t="s">
        <v>42</v>
      </c>
      <c r="C22" s="15">
        <v>26266.411</v>
      </c>
      <c r="D22" s="16"/>
      <c r="E22" s="1">
        <f>+(C22-C$7)/C$8</f>
        <v>-10531.969117456361</v>
      </c>
      <c r="F22" s="1">
        <f>ROUND(2*E22,0)/2</f>
        <v>-10532</v>
      </c>
      <c r="G22" s="1">
        <f>+C22-(C$7+F22*C$8)</f>
        <v>7.6924000000872184E-2</v>
      </c>
      <c r="I22" s="1">
        <f>+G22</f>
        <v>7.6924000000872184E-2</v>
      </c>
      <c r="O22" s="1">
        <f ca="1">+C$11+C$12*$F22</f>
        <v>8.795629051929009E-3</v>
      </c>
      <c r="Q22" s="30">
        <f>+C22-15018.5</f>
        <v>11247.911</v>
      </c>
    </row>
    <row r="23" spans="1:17" x14ac:dyDescent="0.2">
      <c r="A23" s="13" t="s">
        <v>47</v>
      </c>
      <c r="B23" s="14" t="s">
        <v>42</v>
      </c>
      <c r="C23" s="15">
        <v>26632.438999999998</v>
      </c>
      <c r="D23" s="16"/>
      <c r="E23" s="1">
        <f>+(C23-C$7)/C$8</f>
        <v>-10385.020496961488</v>
      </c>
      <c r="F23" s="1">
        <f>ROUND(2*E23,0)/2</f>
        <v>-10385</v>
      </c>
      <c r="G23" s="1">
        <f>+C23-(C$7+F23*C$8)</f>
        <v>-5.1054999999905704E-2</v>
      </c>
      <c r="I23" s="1">
        <f>+G23</f>
        <v>-5.1054999999905704E-2</v>
      </c>
      <c r="O23" s="1">
        <f ca="1">+C$11+C$12*$F23</f>
        <v>8.6873965158430766E-3</v>
      </c>
      <c r="Q23" s="30">
        <f>+C23-15018.5</f>
        <v>11613.938999999998</v>
      </c>
    </row>
    <row r="24" spans="1:17" x14ac:dyDescent="0.2">
      <c r="A24" s="13" t="s">
        <v>47</v>
      </c>
      <c r="B24" s="14" t="s">
        <v>42</v>
      </c>
      <c r="C24" s="15">
        <v>26707.262999999999</v>
      </c>
      <c r="D24" s="16"/>
      <c r="E24" s="1">
        <f>+(C24-C$7)/C$8</f>
        <v>-10354.981036647227</v>
      </c>
      <c r="F24" s="1">
        <f>ROUND(2*E24,0)/2</f>
        <v>-10355</v>
      </c>
      <c r="G24" s="1">
        <f>+C24-(C$7+F24*C$8)</f>
        <v>4.7234999998181593E-2</v>
      </c>
      <c r="I24" s="1">
        <f>+G24</f>
        <v>4.7234999998181593E-2</v>
      </c>
      <c r="O24" s="1">
        <f ca="1">+C$11+C$12*$F24</f>
        <v>8.6653082431724787E-3</v>
      </c>
      <c r="Q24" s="30">
        <f>+C24-15018.5</f>
        <v>11688.762999999999</v>
      </c>
    </row>
    <row r="25" spans="1:17" x14ac:dyDescent="0.2">
      <c r="A25" s="13" t="s">
        <v>47</v>
      </c>
      <c r="B25" s="14" t="s">
        <v>42</v>
      </c>
      <c r="C25" s="15">
        <v>27307.453000000001</v>
      </c>
      <c r="D25" s="16"/>
      <c r="E25" s="1">
        <f>+(C25-C$7)/C$8</f>
        <v>-10114.023807870142</v>
      </c>
      <c r="F25" s="1">
        <f>ROUND(2*E25,0)/2</f>
        <v>-10114</v>
      </c>
      <c r="G25" s="1">
        <f>+C25-(C$7+F25*C$8)</f>
        <v>-5.9301999997842358E-2</v>
      </c>
      <c r="I25" s="1">
        <f>+G25</f>
        <v>-5.9301999997842358E-2</v>
      </c>
      <c r="O25" s="1">
        <f ca="1">+C$11+C$12*$F25</f>
        <v>8.4878657860520054E-3</v>
      </c>
      <c r="Q25" s="30">
        <f>+C25-15018.5</f>
        <v>12288.953000000001</v>
      </c>
    </row>
    <row r="26" spans="1:17" x14ac:dyDescent="0.2">
      <c r="A26" s="13" t="s">
        <v>47</v>
      </c>
      <c r="B26" s="14" t="s">
        <v>42</v>
      </c>
      <c r="C26" s="15">
        <v>27307.474999999999</v>
      </c>
      <c r="D26" s="16"/>
      <c r="E26" s="1">
        <f>+(C26-C$7)/C$8</f>
        <v>-10114.014975568651</v>
      </c>
      <c r="F26" s="1">
        <f>ROUND(2*E26,0)/2</f>
        <v>-10114</v>
      </c>
      <c r="G26" s="1">
        <f>+C26-(C$7+F26*C$8)</f>
        <v>-3.7302000000636326E-2</v>
      </c>
      <c r="I26" s="1">
        <f>+G26</f>
        <v>-3.7302000000636326E-2</v>
      </c>
      <c r="O26" s="1">
        <f ca="1">+C$11+C$12*$F26</f>
        <v>8.4878657860520054E-3</v>
      </c>
      <c r="Q26" s="30">
        <f>+C26-15018.5</f>
        <v>12288.974999999999</v>
      </c>
    </row>
    <row r="27" spans="1:17" x14ac:dyDescent="0.2">
      <c r="A27" s="13" t="s">
        <v>47</v>
      </c>
      <c r="B27" s="14" t="s">
        <v>42</v>
      </c>
      <c r="C27" s="15">
        <v>27307.496999999999</v>
      </c>
      <c r="D27" s="16"/>
      <c r="E27" s="1">
        <f>+(C27-C$7)/C$8</f>
        <v>-10114.006143267157</v>
      </c>
      <c r="F27" s="1">
        <f>ROUND(2*E27,0)/2</f>
        <v>-10114</v>
      </c>
      <c r="G27" s="1">
        <f>+C27-(C$7+F27*C$8)</f>
        <v>-1.5301999999792315E-2</v>
      </c>
      <c r="I27" s="1">
        <f>+G27</f>
        <v>-1.5301999999792315E-2</v>
      </c>
      <c r="O27" s="1">
        <f ca="1">+C$11+C$12*$F27</f>
        <v>8.4878657860520054E-3</v>
      </c>
      <c r="Q27" s="30">
        <f>+C27-15018.5</f>
        <v>12288.996999999999</v>
      </c>
    </row>
    <row r="28" spans="1:17" x14ac:dyDescent="0.2">
      <c r="A28" s="13" t="s">
        <v>47</v>
      </c>
      <c r="B28" s="14" t="s">
        <v>42</v>
      </c>
      <c r="C28" s="15">
        <v>27307.517</v>
      </c>
      <c r="D28" s="16"/>
      <c r="E28" s="1">
        <f>+(C28-C$7)/C$8</f>
        <v>-10113.998113902164</v>
      </c>
      <c r="F28" s="1">
        <f>ROUND(2*E28,0)/2</f>
        <v>-10114</v>
      </c>
      <c r="G28" s="1">
        <f>+C28-(C$7+F28*C$8)</f>
        <v>4.6980000006442424E-3</v>
      </c>
      <c r="I28" s="1">
        <f>+G28</f>
        <v>4.6980000006442424E-3</v>
      </c>
      <c r="O28" s="1">
        <f ca="1">+C$11+C$12*$F28</f>
        <v>8.4878657860520054E-3</v>
      </c>
      <c r="Q28" s="30">
        <f>+C28-15018.5</f>
        <v>12289.017</v>
      </c>
    </row>
    <row r="29" spans="1:17" x14ac:dyDescent="0.2">
      <c r="A29" s="13" t="s">
        <v>47</v>
      </c>
      <c r="B29" s="14" t="s">
        <v>42</v>
      </c>
      <c r="C29" s="15">
        <v>27312.484</v>
      </c>
      <c r="D29" s="16"/>
      <c r="E29" s="1">
        <f>+(C29-C$7)/C$8</f>
        <v>-10112.00402110599</v>
      </c>
      <c r="F29" s="1">
        <f>ROUND(2*E29,0)/2</f>
        <v>-10112</v>
      </c>
      <c r="G29" s="1">
        <f>+C29-(C$7+F29*C$8)</f>
        <v>-1.0016000000177883E-2</v>
      </c>
      <c r="I29" s="1">
        <f>+G29</f>
        <v>-1.0016000000177883E-2</v>
      </c>
      <c r="O29" s="1">
        <f ca="1">+C$11+C$12*$F29</f>
        <v>8.4863932345406318E-3</v>
      </c>
      <c r="Q29" s="30">
        <f>+C29-15018.5</f>
        <v>12293.984</v>
      </c>
    </row>
    <row r="30" spans="1:17" x14ac:dyDescent="0.2">
      <c r="A30" s="13" t="s">
        <v>47</v>
      </c>
      <c r="B30" s="14" t="s">
        <v>42</v>
      </c>
      <c r="C30" s="15">
        <v>27332.508999999998</v>
      </c>
      <c r="D30" s="16"/>
      <c r="E30" s="1">
        <f>+(C30-C$7)/C$8</f>
        <v>-10103.964619406093</v>
      </c>
      <c r="F30" s="1">
        <f>ROUND(2*E30,0)/2</f>
        <v>-10104</v>
      </c>
      <c r="G30" s="1">
        <f>+C30-(C$7+F30*C$8)</f>
        <v>8.8127999999414897E-2</v>
      </c>
      <c r="I30" s="1">
        <f>+G30</f>
        <v>8.8127999999414897E-2</v>
      </c>
      <c r="O30" s="1">
        <f ca="1">+C$11+C$12*$F30</f>
        <v>8.4805030284951372E-3</v>
      </c>
      <c r="Q30" s="30">
        <f>+C30-15018.5</f>
        <v>12314.008999999998</v>
      </c>
    </row>
    <row r="31" spans="1:17" x14ac:dyDescent="0.2">
      <c r="A31" s="13" t="s">
        <v>47</v>
      </c>
      <c r="B31" s="14" t="s">
        <v>42</v>
      </c>
      <c r="C31" s="15">
        <v>28398.521000000001</v>
      </c>
      <c r="D31" s="16"/>
      <c r="E31" s="1">
        <f>+(C31-C$7)/C$8</f>
        <v>-9675.9946476252953</v>
      </c>
      <c r="F31" s="1">
        <f>ROUND(2*E31,0)/2</f>
        <v>-9676</v>
      </c>
      <c r="G31" s="1">
        <f>+C31-(C$7+F31*C$8)</f>
        <v>1.3332000002264977E-2</v>
      </c>
      <c r="I31" s="1">
        <f>+G31</f>
        <v>1.3332000002264977E-2</v>
      </c>
      <c r="O31" s="1">
        <f ca="1">+C$11+C$12*$F31</f>
        <v>8.1653770050612671E-3</v>
      </c>
      <c r="Q31" s="30">
        <f>+C31-15018.5</f>
        <v>13380.021000000001</v>
      </c>
    </row>
    <row r="32" spans="1:17" x14ac:dyDescent="0.2">
      <c r="A32" s="13" t="s">
        <v>47</v>
      </c>
      <c r="B32" s="14" t="s">
        <v>42</v>
      </c>
      <c r="C32" s="15">
        <v>28408.558000000001</v>
      </c>
      <c r="D32" s="16"/>
      <c r="E32" s="1">
        <f>+(C32-C$7)/C$8</f>
        <v>-9671.9651108032285</v>
      </c>
      <c r="F32" s="1">
        <f>ROUND(2*E32,0)/2</f>
        <v>-9672</v>
      </c>
      <c r="G32" s="1">
        <f>+C32-(C$7+F32*C$8)</f>
        <v>8.6903999999776715E-2</v>
      </c>
      <c r="I32" s="1">
        <f>+G32</f>
        <v>8.6903999999776715E-2</v>
      </c>
      <c r="O32" s="1">
        <f ca="1">+C$11+C$12*$F32</f>
        <v>8.1624319020385215E-3</v>
      </c>
      <c r="Q32" s="30">
        <f>+C32-15018.5</f>
        <v>13390.058000000001</v>
      </c>
    </row>
    <row r="33" spans="1:17" x14ac:dyDescent="0.2">
      <c r="A33" s="13" t="s">
        <v>47</v>
      </c>
      <c r="B33" s="14" t="s">
        <v>42</v>
      </c>
      <c r="C33" s="15">
        <v>28834.418000000001</v>
      </c>
      <c r="D33" s="16"/>
      <c r="E33" s="1">
        <f>+(C33-C$7)/C$8</f>
        <v>-9500.9958419933373</v>
      </c>
      <c r="F33" s="1">
        <f>ROUND(2*E33,0)/2</f>
        <v>-9501</v>
      </c>
      <c r="G33" s="1">
        <f>+C33-(C$7+F33*C$8)</f>
        <v>1.0357000002841232E-2</v>
      </c>
      <c r="I33" s="1">
        <f>+G33</f>
        <v>1.0357000002841232E-2</v>
      </c>
      <c r="O33" s="1">
        <f ca="1">+C$11+C$12*$F33</f>
        <v>8.0365287478161088E-3</v>
      </c>
      <c r="Q33" s="30">
        <f>+C33-15018.5</f>
        <v>13815.918000000001</v>
      </c>
    </row>
    <row r="34" spans="1:17" x14ac:dyDescent="0.2">
      <c r="A34" s="13" t="s">
        <v>48</v>
      </c>
      <c r="B34" s="14" t="s">
        <v>42</v>
      </c>
      <c r="C34" s="15">
        <v>33888.300999999999</v>
      </c>
      <c r="D34" s="16"/>
      <c r="E34" s="1">
        <f>+(C34-C$7)/C$8</f>
        <v>-7472.022279881985</v>
      </c>
      <c r="F34" s="1">
        <f>ROUND(2*E34,0)/2</f>
        <v>-7472</v>
      </c>
      <c r="G34" s="1">
        <f>+C34-(C$7+F34*C$8)</f>
        <v>-5.5496000000857748E-2</v>
      </c>
      <c r="I34" s="1">
        <f>+G34</f>
        <v>-5.5496000000857748E-2</v>
      </c>
      <c r="O34" s="1">
        <f ca="1">+C$11+C$12*$F34</f>
        <v>6.5426252395279685E-3</v>
      </c>
      <c r="Q34" s="30">
        <f>+C34-15018.5</f>
        <v>18869.800999999999</v>
      </c>
    </row>
    <row r="35" spans="1:17" x14ac:dyDescent="0.2">
      <c r="A35" s="13" t="s">
        <v>48</v>
      </c>
      <c r="B35" s="14" t="s">
        <v>42</v>
      </c>
      <c r="C35" s="15">
        <v>33970.205000000002</v>
      </c>
      <c r="D35" s="16"/>
      <c r="E35" s="1">
        <f>+(C35-C$7)/C$8</f>
        <v>-7439.1404243599691</v>
      </c>
      <c r="F35" s="1">
        <f>ROUND(2*E35,0)/2</f>
        <v>-7439</v>
      </c>
      <c r="G35" s="1">
        <f>+C35-(C$7+F35*C$8)</f>
        <v>-0.34977699999581091</v>
      </c>
      <c r="I35" s="1">
        <f>+G35</f>
        <v>-0.34977699999581091</v>
      </c>
      <c r="O35" s="1">
        <f ca="1">+C$11+C$12*$F35</f>
        <v>6.518328139590311E-3</v>
      </c>
      <c r="Q35" s="30">
        <f>+C35-15018.5</f>
        <v>18951.705000000002</v>
      </c>
    </row>
    <row r="36" spans="1:17" x14ac:dyDescent="0.2">
      <c r="A36" s="13" t="s">
        <v>48</v>
      </c>
      <c r="B36" s="14" t="s">
        <v>42</v>
      </c>
      <c r="C36" s="15">
        <v>34769.127999999997</v>
      </c>
      <c r="D36" s="16"/>
      <c r="E36" s="1">
        <f>+(C36-C$7)/C$8</f>
        <v>-7118.3982059186874</v>
      </c>
      <c r="F36" s="1">
        <f>ROUND(2*E36,0)/2</f>
        <v>-7118.5</v>
      </c>
      <c r="G36" s="1">
        <f>+C36-(C$7+F36*C$8)</f>
        <v>0.25355449999915436</v>
      </c>
      <c r="I36" s="1">
        <f>+G36</f>
        <v>0.25355449999915436</v>
      </c>
      <c r="O36" s="1">
        <f ca="1">+C$11+C$12*$F36</f>
        <v>6.2823517598927505E-3</v>
      </c>
      <c r="Q36" s="30">
        <f>+C36-15018.5</f>
        <v>19750.627999999997</v>
      </c>
    </row>
    <row r="37" spans="1:17" x14ac:dyDescent="0.2">
      <c r="A37" s="13" t="s">
        <v>48</v>
      </c>
      <c r="B37" s="14" t="s">
        <v>42</v>
      </c>
      <c r="C37" s="15">
        <v>34994.428999999996</v>
      </c>
      <c r="D37" s="16"/>
      <c r="E37" s="1">
        <f>+(C37-C$7)/C$8</f>
        <v>-7027.9470077969163</v>
      </c>
      <c r="F37" s="1">
        <f>ROUND(2*E37,0)/2</f>
        <v>-7028</v>
      </c>
      <c r="G37" s="1">
        <f>+C37-(C$7+F37*C$8)</f>
        <v>0.13199599999643397</v>
      </c>
      <c r="I37" s="1">
        <f>+G37</f>
        <v>0.13199599999643397</v>
      </c>
      <c r="O37" s="1">
        <f ca="1">+C$11+C$12*$F37</f>
        <v>6.2157188040031118E-3</v>
      </c>
      <c r="Q37" s="30">
        <f>+C37-15018.5</f>
        <v>19975.928999999996</v>
      </c>
    </row>
    <row r="38" spans="1:17" x14ac:dyDescent="0.2">
      <c r="A38" s="13" t="s">
        <v>48</v>
      </c>
      <c r="B38" s="14" t="s">
        <v>46</v>
      </c>
      <c r="C38" s="15">
        <v>35095.106</v>
      </c>
      <c r="D38" s="16"/>
      <c r="E38" s="1">
        <f>+(C38-C$7)/C$8</f>
        <v>-6987.5283888236063</v>
      </c>
      <c r="F38" s="1">
        <f>ROUND(2*E38,0)/2</f>
        <v>-6987.5</v>
      </c>
      <c r="G38" s="1">
        <f>+C38-(C$7+F38*C$8)</f>
        <v>-7.0712500004447065E-2</v>
      </c>
      <c r="I38" s="1">
        <f>+G38</f>
        <v>-7.0712500004447065E-2</v>
      </c>
      <c r="O38" s="1">
        <f ca="1">+C$11+C$12*$F38</f>
        <v>6.1858996358978039E-3</v>
      </c>
      <c r="Q38" s="30">
        <f>+C38-15018.5</f>
        <v>20076.606</v>
      </c>
    </row>
    <row r="39" spans="1:17" x14ac:dyDescent="0.2">
      <c r="A39" s="57" t="s">
        <v>34</v>
      </c>
      <c r="B39" s="58" t="s">
        <v>42</v>
      </c>
      <c r="C39" s="57">
        <v>52500.04</v>
      </c>
      <c r="D39" s="59"/>
      <c r="E39" s="31">
        <f>+(C39-C$7)/C$8</f>
        <v>0</v>
      </c>
      <c r="F39" s="31">
        <f>ROUND(2*E39,0)/2</f>
        <v>0</v>
      </c>
      <c r="G39" s="31">
        <f>+C39-(C$7+F39*C$8)</f>
        <v>0</v>
      </c>
      <c r="H39" s="31">
        <f>+G39</f>
        <v>0</v>
      </c>
      <c r="I39" s="31"/>
      <c r="J39" s="31"/>
      <c r="K39" s="31"/>
      <c r="L39" s="31"/>
      <c r="M39" s="31"/>
      <c r="N39" s="31"/>
      <c r="O39" s="31">
        <f ca="1">+C$11+C$12*$F39</f>
        <v>1.0411727930375852E-3</v>
      </c>
      <c r="P39" s="31"/>
      <c r="Q39" s="60">
        <f>+C39-15018.5</f>
        <v>37481.54</v>
      </c>
    </row>
    <row r="40" spans="1:17" x14ac:dyDescent="0.2">
      <c r="A40" s="7" t="s">
        <v>43</v>
      </c>
      <c r="B40" s="8" t="s">
        <v>42</v>
      </c>
      <c r="C40" s="9">
        <v>53705.622000000003</v>
      </c>
      <c r="D40" s="61">
        <v>2E-3</v>
      </c>
      <c r="E40" s="31">
        <f>+(C40-C$7)/C$8</f>
        <v>484.00289538901757</v>
      </c>
      <c r="F40" s="31">
        <f>ROUND(2*E40,0)/2</f>
        <v>484</v>
      </c>
      <c r="G40" s="31">
        <f>+C40-(C$7+F40*C$8)</f>
        <v>7.2120000040740706E-3</v>
      </c>
      <c r="H40" s="31"/>
      <c r="J40" s="31">
        <f>+G40</f>
        <v>7.2120000040740706E-3</v>
      </c>
      <c r="K40" s="31"/>
      <c r="L40" s="31"/>
      <c r="M40" s="31"/>
      <c r="N40" s="31"/>
      <c r="O40" s="31">
        <f ca="1">+C$11+C$12*$F40</f>
        <v>6.8481532728526375E-4</v>
      </c>
      <c r="P40" s="31"/>
      <c r="Q40" s="60">
        <f>+C40-15018.5</f>
        <v>38687.122000000003</v>
      </c>
    </row>
    <row r="41" spans="1:17" x14ac:dyDescent="0.2">
      <c r="A41" s="7" t="s">
        <v>43</v>
      </c>
      <c r="B41" s="8" t="s">
        <v>42</v>
      </c>
      <c r="C41" s="7">
        <v>54019.473899999997</v>
      </c>
      <c r="D41" s="61">
        <v>1E-3</v>
      </c>
      <c r="E41" s="1">
        <f>+(C41-C$7)/C$8</f>
        <v>610.00446834161744</v>
      </c>
      <c r="F41" s="1">
        <f>ROUND(2*E41,0)/2</f>
        <v>610</v>
      </c>
      <c r="G41" s="1">
        <f>+C41-(C$7+F41*C$8)</f>
        <v>1.1129999998956919E-2</v>
      </c>
      <c r="J41" s="1">
        <f>+G41</f>
        <v>1.1129999998956919E-2</v>
      </c>
      <c r="O41" s="1">
        <f ca="1">+C$11+C$12*$F41</f>
        <v>5.9204458206875031E-4</v>
      </c>
      <c r="Q41" s="30">
        <f>+C41-15018.5</f>
        <v>39000.973899999997</v>
      </c>
    </row>
    <row r="42" spans="1:17" x14ac:dyDescent="0.2">
      <c r="A42" s="5" t="s">
        <v>44</v>
      </c>
      <c r="B42" s="6" t="s">
        <v>42</v>
      </c>
      <c r="C42" s="5">
        <v>54761.7402</v>
      </c>
      <c r="D42" s="5">
        <v>6.9999999999999999E-4</v>
      </c>
      <c r="E42" s="1">
        <f>+(C42-C$7)/C$8</f>
        <v>908.00082060110208</v>
      </c>
      <c r="F42" s="1">
        <f>ROUND(2*E42,0)/2</f>
        <v>908</v>
      </c>
      <c r="G42" s="1">
        <f>+C42-(C$7+F42*C$8)</f>
        <v>2.0440000007511117E-3</v>
      </c>
      <c r="J42" s="1">
        <f>+G42</f>
        <v>2.0440000007511117E-3</v>
      </c>
      <c r="O42" s="1">
        <f ca="1">+C$11+C$12*$F42</f>
        <v>3.7263440687413925E-4</v>
      </c>
      <c r="Q42" s="30">
        <f>+C42-15018.5</f>
        <v>39743.2402</v>
      </c>
    </row>
    <row r="43" spans="1:17" x14ac:dyDescent="0.2">
      <c r="A43" s="13" t="s">
        <v>49</v>
      </c>
      <c r="B43" s="14" t="s">
        <v>42</v>
      </c>
      <c r="C43" s="15">
        <v>54843.936800000003</v>
      </c>
      <c r="D43" s="16"/>
      <c r="E43" s="1">
        <f>+(C43-C$7)/C$8</f>
        <v>941.00014573297551</v>
      </c>
      <c r="F43" s="1">
        <f>ROUND(2*E43,0)/2</f>
        <v>941</v>
      </c>
      <c r="G43" s="1">
        <f>+C43-(C$7+F43*C$8)</f>
        <v>3.6299999919719994E-4</v>
      </c>
      <c r="J43" s="1">
        <f>+G43</f>
        <v>3.6299999919719994E-4</v>
      </c>
      <c r="O43" s="1">
        <f ca="1">+C$11+C$12*$F43</f>
        <v>3.4833730693648089E-4</v>
      </c>
      <c r="Q43" s="30">
        <f>+C43-15018.5</f>
        <v>39825.436800000003</v>
      </c>
    </row>
    <row r="44" spans="1:17" x14ac:dyDescent="0.2">
      <c r="A44" s="10" t="s">
        <v>45</v>
      </c>
      <c r="B44" s="11" t="s">
        <v>46</v>
      </c>
      <c r="C44" s="12">
        <v>55527.680800000002</v>
      </c>
      <c r="D44" s="12">
        <v>1.9E-3</v>
      </c>
      <c r="E44" s="1">
        <f>+(C44-C$7)/C$8</f>
        <v>1215.5016526440502</v>
      </c>
      <c r="F44" s="1">
        <f>ROUND(2*E44,0)/2</f>
        <v>1215.5</v>
      </c>
      <c r="G44" s="1">
        <f>+C44-(C$7+F44*C$8)</f>
        <v>4.1165000002365559E-3</v>
      </c>
      <c r="J44" s="1">
        <f>+G44</f>
        <v>4.1165000002365559E-3</v>
      </c>
      <c r="O44" s="1">
        <f ca="1">+C$11+C$12*$F44</f>
        <v>1.4622961200050529E-4</v>
      </c>
      <c r="Q44" s="30">
        <f>+C44-15018.5</f>
        <v>40509.180800000002</v>
      </c>
    </row>
  </sheetData>
  <sheetProtection selectLockedCells="1" selectUnlockedCells="1"/>
  <sortState xmlns:xlrd2="http://schemas.microsoft.com/office/spreadsheetml/2017/richdata2" ref="A21:X44">
    <sortCondition ref="C21:C44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9" workbookViewId="0">
      <selection activeCell="A15" sqref="A15"/>
    </sheetView>
  </sheetViews>
  <sheetFormatPr defaultRowHeight="12.75" x14ac:dyDescent="0.2"/>
  <cols>
    <col min="1" max="1" width="19.7109375" style="17" customWidth="1"/>
    <col min="2" max="2" width="4.42578125" customWidth="1"/>
    <col min="3" max="3" width="12.7109375" style="17" customWidth="1"/>
    <col min="4" max="4" width="5.42578125" customWidth="1"/>
    <col min="5" max="5" width="14.85546875" customWidth="1"/>
    <col min="7" max="7" width="12" customWidth="1"/>
    <col min="8" max="8" width="14.140625" style="1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8" t="s">
        <v>50</v>
      </c>
      <c r="I1" s="19" t="s">
        <v>51</v>
      </c>
      <c r="J1" s="20" t="s">
        <v>52</v>
      </c>
    </row>
    <row r="2" spans="1:16" x14ac:dyDescent="0.2">
      <c r="I2" s="21" t="s">
        <v>53</v>
      </c>
      <c r="J2" s="22" t="s">
        <v>54</v>
      </c>
    </row>
    <row r="3" spans="1:16" x14ac:dyDescent="0.2">
      <c r="A3" s="23" t="s">
        <v>55</v>
      </c>
      <c r="I3" s="21" t="s">
        <v>56</v>
      </c>
      <c r="J3" s="22" t="s">
        <v>57</v>
      </c>
    </row>
    <row r="4" spans="1:16" x14ac:dyDescent="0.2">
      <c r="I4" s="21" t="s">
        <v>58</v>
      </c>
      <c r="J4" s="22" t="s">
        <v>57</v>
      </c>
    </row>
    <row r="5" spans="1:16" x14ac:dyDescent="0.2">
      <c r="I5" s="24" t="s">
        <v>59</v>
      </c>
      <c r="J5" s="25" t="s">
        <v>60</v>
      </c>
    </row>
    <row r="11" spans="1:16" ht="12.75" customHeight="1" x14ac:dyDescent="0.2">
      <c r="A11" s="17" t="str">
        <f t="shared" ref="A11:A33" si="0">P11</f>
        <v>BAVM 183 </v>
      </c>
      <c r="B11" s="4" t="str">
        <f t="shared" ref="B11:B33" si="1">IF(H11=INT(H11),"I","II")</f>
        <v>I</v>
      </c>
      <c r="C11" s="17">
        <f t="shared" ref="C11:C33" si="2">1*G11</f>
        <v>53705.622000000003</v>
      </c>
      <c r="D11" t="str">
        <f t="shared" ref="D11:D33" si="3">VLOOKUP(F11,I$1:J$5,2,FALSE)</f>
        <v>vis</v>
      </c>
      <c r="E11">
        <f>VLOOKUP(C11,Active!C$21:E$973,3,FALSE)</f>
        <v>484.00289538901757</v>
      </c>
      <c r="F11" s="4" t="s">
        <v>59</v>
      </c>
      <c r="G11" t="str">
        <f t="shared" ref="G11:G33" si="4">MID(I11,3,LEN(I11)-3)</f>
        <v>53705.6220</v>
      </c>
      <c r="H11" s="17">
        <f t="shared" ref="H11:H33" si="5">1*K11</f>
        <v>11112</v>
      </c>
      <c r="I11" s="26" t="s">
        <v>61</v>
      </c>
      <c r="J11" s="27" t="s">
        <v>62</v>
      </c>
      <c r="K11" s="26">
        <v>11112</v>
      </c>
      <c r="L11" s="26" t="s">
        <v>63</v>
      </c>
      <c r="M11" s="27" t="s">
        <v>64</v>
      </c>
      <c r="N11" s="27" t="s">
        <v>59</v>
      </c>
      <c r="O11" s="28" t="s">
        <v>65</v>
      </c>
      <c r="P11" s="29" t="s">
        <v>66</v>
      </c>
    </row>
    <row r="12" spans="1:16" ht="12.75" customHeight="1" x14ac:dyDescent="0.2">
      <c r="A12" s="17" t="str">
        <f t="shared" si="0"/>
        <v>BAVM 183 </v>
      </c>
      <c r="B12" s="4" t="str">
        <f t="shared" si="1"/>
        <v>I</v>
      </c>
      <c r="C12" s="17">
        <f t="shared" si="2"/>
        <v>54019.473899999997</v>
      </c>
      <c r="D12" t="str">
        <f t="shared" si="3"/>
        <v>vis</v>
      </c>
      <c r="E12">
        <f>VLOOKUP(C12,Active!C$21:E$973,3,FALSE)</f>
        <v>610.00446834161744</v>
      </c>
      <c r="F12" s="4" t="s">
        <v>59</v>
      </c>
      <c r="G12" t="str">
        <f t="shared" si="4"/>
        <v>54019.4739</v>
      </c>
      <c r="H12" s="17">
        <f t="shared" si="5"/>
        <v>11238</v>
      </c>
      <c r="I12" s="26" t="s">
        <v>67</v>
      </c>
      <c r="J12" s="27" t="s">
        <v>68</v>
      </c>
      <c r="K12" s="26">
        <v>11238</v>
      </c>
      <c r="L12" s="26" t="s">
        <v>69</v>
      </c>
      <c r="M12" s="27" t="s">
        <v>64</v>
      </c>
      <c r="N12" s="27" t="s">
        <v>70</v>
      </c>
      <c r="O12" s="28" t="s">
        <v>65</v>
      </c>
      <c r="P12" s="29" t="s">
        <v>66</v>
      </c>
    </row>
    <row r="13" spans="1:16" ht="12.75" customHeight="1" x14ac:dyDescent="0.2">
      <c r="A13" s="17" t="str">
        <f t="shared" si="0"/>
        <v>IBVS 5871 </v>
      </c>
      <c r="B13" s="4" t="str">
        <f t="shared" si="1"/>
        <v>I</v>
      </c>
      <c r="C13" s="17">
        <f t="shared" si="2"/>
        <v>54761.7402</v>
      </c>
      <c r="D13" t="str">
        <f t="shared" si="3"/>
        <v>vis</v>
      </c>
      <c r="E13">
        <f>VLOOKUP(C13,Active!C$21:E$973,3,FALSE)</f>
        <v>908.00082060110208</v>
      </c>
      <c r="F13" s="4" t="s">
        <v>59</v>
      </c>
      <c r="G13" t="str">
        <f t="shared" si="4"/>
        <v>54761.7402</v>
      </c>
      <c r="H13" s="17">
        <f t="shared" si="5"/>
        <v>11536</v>
      </c>
      <c r="I13" s="26" t="s">
        <v>71</v>
      </c>
      <c r="J13" s="27" t="s">
        <v>72</v>
      </c>
      <c r="K13" s="26" t="s">
        <v>73</v>
      </c>
      <c r="L13" s="26" t="s">
        <v>74</v>
      </c>
      <c r="M13" s="27" t="s">
        <v>64</v>
      </c>
      <c r="N13" s="27" t="s">
        <v>59</v>
      </c>
      <c r="O13" s="28" t="s">
        <v>75</v>
      </c>
      <c r="P13" s="29" t="s">
        <v>76</v>
      </c>
    </row>
    <row r="14" spans="1:16" ht="12.75" customHeight="1" x14ac:dyDescent="0.2">
      <c r="A14" s="17" t="str">
        <f t="shared" si="0"/>
        <v>IBVS 5960 </v>
      </c>
      <c r="B14" s="4" t="str">
        <f t="shared" si="1"/>
        <v>II</v>
      </c>
      <c r="C14" s="17">
        <f t="shared" si="2"/>
        <v>55527.680800000002</v>
      </c>
      <c r="D14" t="str">
        <f t="shared" si="3"/>
        <v>vis</v>
      </c>
      <c r="E14">
        <f>VLOOKUP(C14,Active!C$21:E$973,3,FALSE)</f>
        <v>1215.5016526440502</v>
      </c>
      <c r="F14" s="4" t="s">
        <v>59</v>
      </c>
      <c r="G14" t="str">
        <f t="shared" si="4"/>
        <v>55527.6808</v>
      </c>
      <c r="H14" s="17">
        <f t="shared" si="5"/>
        <v>11843.5</v>
      </c>
      <c r="I14" s="26" t="s">
        <v>77</v>
      </c>
      <c r="J14" s="27" t="s">
        <v>78</v>
      </c>
      <c r="K14" s="26" t="s">
        <v>79</v>
      </c>
      <c r="L14" s="26" t="s">
        <v>80</v>
      </c>
      <c r="M14" s="27" t="s">
        <v>64</v>
      </c>
      <c r="N14" s="27" t="s">
        <v>59</v>
      </c>
      <c r="O14" s="28" t="s">
        <v>75</v>
      </c>
      <c r="P14" s="29" t="s">
        <v>81</v>
      </c>
    </row>
    <row r="15" spans="1:16" ht="12.75" customHeight="1" x14ac:dyDescent="0.2">
      <c r="A15" s="17" t="str">
        <f t="shared" si="0"/>
        <v> VB 5.3 </v>
      </c>
      <c r="B15" s="4" t="str">
        <f t="shared" si="1"/>
        <v>I</v>
      </c>
      <c r="C15" s="17">
        <f t="shared" si="2"/>
        <v>26027.268</v>
      </c>
      <c r="D15" t="str">
        <f t="shared" si="3"/>
        <v>vis</v>
      </c>
      <c r="E15">
        <f>VLOOKUP(C15,Active!C$21:E$973,3,FALSE)</f>
        <v>-10627.97743909024</v>
      </c>
      <c r="F15" s="4" t="s">
        <v>59</v>
      </c>
      <c r="G15" t="str">
        <f t="shared" si="4"/>
        <v>26027.268</v>
      </c>
      <c r="H15" s="17">
        <f t="shared" si="5"/>
        <v>0</v>
      </c>
      <c r="I15" s="26" t="s">
        <v>82</v>
      </c>
      <c r="J15" s="27" t="s">
        <v>83</v>
      </c>
      <c r="K15" s="26">
        <v>0</v>
      </c>
      <c r="L15" s="26" t="s">
        <v>84</v>
      </c>
      <c r="M15" s="27" t="s">
        <v>85</v>
      </c>
      <c r="N15" s="27"/>
      <c r="O15" s="28" t="s">
        <v>86</v>
      </c>
      <c r="P15" s="28" t="s">
        <v>47</v>
      </c>
    </row>
    <row r="16" spans="1:16" ht="12.75" customHeight="1" x14ac:dyDescent="0.2">
      <c r="A16" s="17" t="str">
        <f t="shared" si="0"/>
        <v> VB 5.3 </v>
      </c>
      <c r="B16" s="4" t="str">
        <f t="shared" si="1"/>
        <v>I</v>
      </c>
      <c r="C16" s="17">
        <f t="shared" si="2"/>
        <v>26266.411</v>
      </c>
      <c r="D16" t="str">
        <f t="shared" si="3"/>
        <v>vis</v>
      </c>
      <c r="E16">
        <f>VLOOKUP(C16,Active!C$21:E$973,3,FALSE)</f>
        <v>-10531.969117456361</v>
      </c>
      <c r="F16" s="4" t="s">
        <v>59</v>
      </c>
      <c r="G16" t="str">
        <f t="shared" si="4"/>
        <v>26266.411</v>
      </c>
      <c r="H16" s="17">
        <f t="shared" si="5"/>
        <v>96</v>
      </c>
      <c r="I16" s="26" t="s">
        <v>87</v>
      </c>
      <c r="J16" s="27" t="s">
        <v>88</v>
      </c>
      <c r="K16" s="26">
        <v>96</v>
      </c>
      <c r="L16" s="26" t="s">
        <v>89</v>
      </c>
      <c r="M16" s="27" t="s">
        <v>85</v>
      </c>
      <c r="N16" s="27"/>
      <c r="O16" s="28" t="s">
        <v>86</v>
      </c>
      <c r="P16" s="28" t="s">
        <v>47</v>
      </c>
    </row>
    <row r="17" spans="1:16" ht="12.75" customHeight="1" x14ac:dyDescent="0.2">
      <c r="A17" s="17" t="str">
        <f t="shared" si="0"/>
        <v> VB 5.3 </v>
      </c>
      <c r="B17" s="4" t="str">
        <f t="shared" si="1"/>
        <v>I</v>
      </c>
      <c r="C17" s="17">
        <f t="shared" si="2"/>
        <v>26632.438999999998</v>
      </c>
      <c r="D17" t="str">
        <f t="shared" si="3"/>
        <v>vis</v>
      </c>
      <c r="E17">
        <f>VLOOKUP(C17,Active!C$21:E$973,3,FALSE)</f>
        <v>-10385.020496961488</v>
      </c>
      <c r="F17" s="4" t="s">
        <v>59</v>
      </c>
      <c r="G17" t="str">
        <f t="shared" si="4"/>
        <v>26632.439</v>
      </c>
      <c r="H17" s="17">
        <f t="shared" si="5"/>
        <v>243</v>
      </c>
      <c r="I17" s="26" t="s">
        <v>90</v>
      </c>
      <c r="J17" s="27" t="s">
        <v>91</v>
      </c>
      <c r="K17" s="26">
        <v>243</v>
      </c>
      <c r="L17" s="26" t="s">
        <v>92</v>
      </c>
      <c r="M17" s="27" t="s">
        <v>85</v>
      </c>
      <c r="N17" s="27"/>
      <c r="O17" s="28" t="s">
        <v>86</v>
      </c>
      <c r="P17" s="28" t="s">
        <v>47</v>
      </c>
    </row>
    <row r="18" spans="1:16" ht="12.75" customHeight="1" x14ac:dyDescent="0.2">
      <c r="A18" s="17" t="str">
        <f t="shared" si="0"/>
        <v> VB 5.3 </v>
      </c>
      <c r="B18" s="4" t="str">
        <f t="shared" si="1"/>
        <v>I</v>
      </c>
      <c r="C18" s="17">
        <f t="shared" si="2"/>
        <v>26707.262999999999</v>
      </c>
      <c r="D18" t="str">
        <f t="shared" si="3"/>
        <v>vis</v>
      </c>
      <c r="E18">
        <f>VLOOKUP(C18,Active!C$21:E$973,3,FALSE)</f>
        <v>-10354.981036647227</v>
      </c>
      <c r="F18" s="4" t="s">
        <v>59</v>
      </c>
      <c r="G18" t="str">
        <f t="shared" si="4"/>
        <v>26707.263</v>
      </c>
      <c r="H18" s="17">
        <f t="shared" si="5"/>
        <v>273</v>
      </c>
      <c r="I18" s="26" t="s">
        <v>93</v>
      </c>
      <c r="J18" s="27" t="s">
        <v>94</v>
      </c>
      <c r="K18" s="26">
        <v>273</v>
      </c>
      <c r="L18" s="26" t="s">
        <v>95</v>
      </c>
      <c r="M18" s="27" t="s">
        <v>85</v>
      </c>
      <c r="N18" s="27"/>
      <c r="O18" s="28" t="s">
        <v>86</v>
      </c>
      <c r="P18" s="28" t="s">
        <v>47</v>
      </c>
    </row>
    <row r="19" spans="1:16" ht="12.75" customHeight="1" x14ac:dyDescent="0.2">
      <c r="A19" s="17" t="str">
        <f t="shared" si="0"/>
        <v> VB 5.3 </v>
      </c>
      <c r="B19" s="4" t="str">
        <f t="shared" si="1"/>
        <v>I</v>
      </c>
      <c r="C19" s="17">
        <f t="shared" si="2"/>
        <v>27307.453000000001</v>
      </c>
      <c r="D19" t="str">
        <f t="shared" si="3"/>
        <v>vis</v>
      </c>
      <c r="E19">
        <f>VLOOKUP(C19,Active!C$21:E$973,3,FALSE)</f>
        <v>-10114.023807870142</v>
      </c>
      <c r="F19" s="4" t="s">
        <v>59</v>
      </c>
      <c r="G19" t="str">
        <f t="shared" si="4"/>
        <v>27307.453</v>
      </c>
      <c r="H19" s="17">
        <f t="shared" si="5"/>
        <v>514</v>
      </c>
      <c r="I19" s="26" t="s">
        <v>96</v>
      </c>
      <c r="J19" s="27" t="s">
        <v>97</v>
      </c>
      <c r="K19" s="26">
        <v>514</v>
      </c>
      <c r="L19" s="26" t="s">
        <v>98</v>
      </c>
      <c r="M19" s="27" t="s">
        <v>85</v>
      </c>
      <c r="N19" s="27"/>
      <c r="O19" s="28" t="s">
        <v>86</v>
      </c>
      <c r="P19" s="28" t="s">
        <v>47</v>
      </c>
    </row>
    <row r="20" spans="1:16" ht="12.75" customHeight="1" x14ac:dyDescent="0.2">
      <c r="A20" s="17" t="str">
        <f t="shared" si="0"/>
        <v> VB 5.3 </v>
      </c>
      <c r="B20" s="4" t="str">
        <f t="shared" si="1"/>
        <v>I</v>
      </c>
      <c r="C20" s="17">
        <f t="shared" si="2"/>
        <v>27307.474999999999</v>
      </c>
      <c r="D20" t="str">
        <f t="shared" si="3"/>
        <v>vis</v>
      </c>
      <c r="E20">
        <f>VLOOKUP(C20,Active!C$21:E$973,3,FALSE)</f>
        <v>-10114.014975568651</v>
      </c>
      <c r="F20" s="4" t="s">
        <v>59</v>
      </c>
      <c r="G20" t="str">
        <f t="shared" si="4"/>
        <v>27307.475</v>
      </c>
      <c r="H20" s="17">
        <f t="shared" si="5"/>
        <v>514</v>
      </c>
      <c r="I20" s="26" t="s">
        <v>99</v>
      </c>
      <c r="J20" s="27" t="s">
        <v>100</v>
      </c>
      <c r="K20" s="26">
        <v>514</v>
      </c>
      <c r="L20" s="26" t="s">
        <v>101</v>
      </c>
      <c r="M20" s="27" t="s">
        <v>85</v>
      </c>
      <c r="N20" s="27"/>
      <c r="O20" s="28" t="s">
        <v>86</v>
      </c>
      <c r="P20" s="28" t="s">
        <v>47</v>
      </c>
    </row>
    <row r="21" spans="1:16" ht="12.75" customHeight="1" x14ac:dyDescent="0.2">
      <c r="A21" s="17" t="str">
        <f t="shared" si="0"/>
        <v> VB 5.3 </v>
      </c>
      <c r="B21" s="4" t="str">
        <f t="shared" si="1"/>
        <v>I</v>
      </c>
      <c r="C21" s="17">
        <f t="shared" si="2"/>
        <v>27307.496999999999</v>
      </c>
      <c r="D21" t="str">
        <f t="shared" si="3"/>
        <v>vis</v>
      </c>
      <c r="E21">
        <f>VLOOKUP(C21,Active!C$21:E$973,3,FALSE)</f>
        <v>-10114.006143267157</v>
      </c>
      <c r="F21" s="4" t="s">
        <v>59</v>
      </c>
      <c r="G21" t="str">
        <f t="shared" si="4"/>
        <v>27307.497</v>
      </c>
      <c r="H21" s="17">
        <f t="shared" si="5"/>
        <v>514</v>
      </c>
      <c r="I21" s="26" t="s">
        <v>102</v>
      </c>
      <c r="J21" s="27" t="s">
        <v>103</v>
      </c>
      <c r="K21" s="26">
        <v>514</v>
      </c>
      <c r="L21" s="26" t="s">
        <v>104</v>
      </c>
      <c r="M21" s="27" t="s">
        <v>85</v>
      </c>
      <c r="N21" s="27"/>
      <c r="O21" s="28" t="s">
        <v>86</v>
      </c>
      <c r="P21" s="28" t="s">
        <v>47</v>
      </c>
    </row>
    <row r="22" spans="1:16" ht="12.75" customHeight="1" x14ac:dyDescent="0.2">
      <c r="A22" s="17" t="str">
        <f t="shared" si="0"/>
        <v> VB 5.3 </v>
      </c>
      <c r="B22" s="4" t="str">
        <f t="shared" si="1"/>
        <v>I</v>
      </c>
      <c r="C22" s="17">
        <f t="shared" si="2"/>
        <v>27307.517</v>
      </c>
      <c r="D22" t="str">
        <f t="shared" si="3"/>
        <v>vis</v>
      </c>
      <c r="E22">
        <f>VLOOKUP(C22,Active!C$21:E$973,3,FALSE)</f>
        <v>-10113.998113902164</v>
      </c>
      <c r="F22" s="4" t="s">
        <v>59</v>
      </c>
      <c r="G22" t="str">
        <f t="shared" si="4"/>
        <v>27307.517</v>
      </c>
      <c r="H22" s="17">
        <f t="shared" si="5"/>
        <v>514</v>
      </c>
      <c r="I22" s="26" t="s">
        <v>105</v>
      </c>
      <c r="J22" s="27" t="s">
        <v>106</v>
      </c>
      <c r="K22" s="26">
        <v>514</v>
      </c>
      <c r="L22" s="26" t="s">
        <v>107</v>
      </c>
      <c r="M22" s="27" t="s">
        <v>85</v>
      </c>
      <c r="N22" s="27"/>
      <c r="O22" s="28" t="s">
        <v>86</v>
      </c>
      <c r="P22" s="28" t="s">
        <v>47</v>
      </c>
    </row>
    <row r="23" spans="1:16" ht="12.75" customHeight="1" x14ac:dyDescent="0.2">
      <c r="A23" s="17" t="str">
        <f t="shared" si="0"/>
        <v> VB 5.3 </v>
      </c>
      <c r="B23" s="4" t="str">
        <f t="shared" si="1"/>
        <v>I</v>
      </c>
      <c r="C23" s="17">
        <f t="shared" si="2"/>
        <v>27312.484</v>
      </c>
      <c r="D23" t="str">
        <f t="shared" si="3"/>
        <v>vis</v>
      </c>
      <c r="E23">
        <f>VLOOKUP(C23,Active!C$21:E$973,3,FALSE)</f>
        <v>-10112.00402110599</v>
      </c>
      <c r="F23" s="4" t="s">
        <v>59</v>
      </c>
      <c r="G23" t="str">
        <f t="shared" si="4"/>
        <v>27312.484</v>
      </c>
      <c r="H23" s="17">
        <f t="shared" si="5"/>
        <v>516</v>
      </c>
      <c r="I23" s="26" t="s">
        <v>108</v>
      </c>
      <c r="J23" s="27" t="s">
        <v>109</v>
      </c>
      <c r="K23" s="26">
        <v>516</v>
      </c>
      <c r="L23" s="26" t="s">
        <v>110</v>
      </c>
      <c r="M23" s="27" t="s">
        <v>85</v>
      </c>
      <c r="N23" s="27"/>
      <c r="O23" s="28" t="s">
        <v>86</v>
      </c>
      <c r="P23" s="28" t="s">
        <v>47</v>
      </c>
    </row>
    <row r="24" spans="1:16" ht="12.75" customHeight="1" x14ac:dyDescent="0.2">
      <c r="A24" s="17" t="str">
        <f t="shared" si="0"/>
        <v> VB 5.3 </v>
      </c>
      <c r="B24" s="4" t="str">
        <f t="shared" si="1"/>
        <v>I</v>
      </c>
      <c r="C24" s="17">
        <f t="shared" si="2"/>
        <v>27332.508999999998</v>
      </c>
      <c r="D24" t="str">
        <f t="shared" si="3"/>
        <v>vis</v>
      </c>
      <c r="E24">
        <f>VLOOKUP(C24,Active!C$21:E$973,3,FALSE)</f>
        <v>-10103.964619406093</v>
      </c>
      <c r="F24" s="4" t="s">
        <v>59</v>
      </c>
      <c r="G24" t="str">
        <f t="shared" si="4"/>
        <v>27332.509</v>
      </c>
      <c r="H24" s="17">
        <f t="shared" si="5"/>
        <v>524</v>
      </c>
      <c r="I24" s="26" t="s">
        <v>111</v>
      </c>
      <c r="J24" s="27" t="s">
        <v>112</v>
      </c>
      <c r="K24" s="26">
        <v>524</v>
      </c>
      <c r="L24" s="26" t="s">
        <v>113</v>
      </c>
      <c r="M24" s="27" t="s">
        <v>85</v>
      </c>
      <c r="N24" s="27"/>
      <c r="O24" s="28" t="s">
        <v>86</v>
      </c>
      <c r="P24" s="28" t="s">
        <v>47</v>
      </c>
    </row>
    <row r="25" spans="1:16" ht="12.75" customHeight="1" x14ac:dyDescent="0.2">
      <c r="A25" s="17" t="str">
        <f t="shared" si="0"/>
        <v> VB 5.3 </v>
      </c>
      <c r="B25" s="4" t="str">
        <f t="shared" si="1"/>
        <v>I</v>
      </c>
      <c r="C25" s="17">
        <f t="shared" si="2"/>
        <v>28398.521000000001</v>
      </c>
      <c r="D25" t="str">
        <f t="shared" si="3"/>
        <v>vis</v>
      </c>
      <c r="E25">
        <f>VLOOKUP(C25,Active!C$21:E$973,3,FALSE)</f>
        <v>-9675.9946476252953</v>
      </c>
      <c r="F25" s="4" t="s">
        <v>59</v>
      </c>
      <c r="G25" t="str">
        <f t="shared" si="4"/>
        <v>28398.521</v>
      </c>
      <c r="H25" s="17">
        <f t="shared" si="5"/>
        <v>952</v>
      </c>
      <c r="I25" s="26" t="s">
        <v>114</v>
      </c>
      <c r="J25" s="27" t="s">
        <v>115</v>
      </c>
      <c r="K25" s="26">
        <v>952</v>
      </c>
      <c r="L25" s="26" t="s">
        <v>116</v>
      </c>
      <c r="M25" s="27" t="s">
        <v>85</v>
      </c>
      <c r="N25" s="27"/>
      <c r="O25" s="28" t="s">
        <v>86</v>
      </c>
      <c r="P25" s="28" t="s">
        <v>47</v>
      </c>
    </row>
    <row r="26" spans="1:16" ht="12.75" customHeight="1" x14ac:dyDescent="0.2">
      <c r="A26" s="17" t="str">
        <f t="shared" si="0"/>
        <v> VB 5.3 </v>
      </c>
      <c r="B26" s="4" t="str">
        <f t="shared" si="1"/>
        <v>I</v>
      </c>
      <c r="C26" s="17">
        <f t="shared" si="2"/>
        <v>28408.558000000001</v>
      </c>
      <c r="D26" t="str">
        <f t="shared" si="3"/>
        <v>vis</v>
      </c>
      <c r="E26">
        <f>VLOOKUP(C26,Active!C$21:E$973,3,FALSE)</f>
        <v>-9671.9651108032285</v>
      </c>
      <c r="F26" s="4" t="s">
        <v>59</v>
      </c>
      <c r="G26" t="str">
        <f t="shared" si="4"/>
        <v>28408.558</v>
      </c>
      <c r="H26" s="17">
        <f t="shared" si="5"/>
        <v>956</v>
      </c>
      <c r="I26" s="26" t="s">
        <v>117</v>
      </c>
      <c r="J26" s="27" t="s">
        <v>118</v>
      </c>
      <c r="K26" s="26">
        <v>956</v>
      </c>
      <c r="L26" s="26" t="s">
        <v>119</v>
      </c>
      <c r="M26" s="27" t="s">
        <v>85</v>
      </c>
      <c r="N26" s="27"/>
      <c r="O26" s="28" t="s">
        <v>86</v>
      </c>
      <c r="P26" s="28" t="s">
        <v>47</v>
      </c>
    </row>
    <row r="27" spans="1:16" ht="12.75" customHeight="1" x14ac:dyDescent="0.2">
      <c r="A27" s="17" t="str">
        <f t="shared" si="0"/>
        <v> VB 5.3 </v>
      </c>
      <c r="B27" s="4" t="str">
        <f t="shared" si="1"/>
        <v>I</v>
      </c>
      <c r="C27" s="17">
        <f t="shared" si="2"/>
        <v>28834.418000000001</v>
      </c>
      <c r="D27" t="str">
        <f t="shared" si="3"/>
        <v>vis</v>
      </c>
      <c r="E27">
        <f>VLOOKUP(C27,Active!C$21:E$973,3,FALSE)</f>
        <v>-9500.9958419933373</v>
      </c>
      <c r="F27" s="4" t="s">
        <v>59</v>
      </c>
      <c r="G27" t="str">
        <f t="shared" si="4"/>
        <v>28834.418</v>
      </c>
      <c r="H27" s="17">
        <f t="shared" si="5"/>
        <v>1127</v>
      </c>
      <c r="I27" s="26" t="s">
        <v>120</v>
      </c>
      <c r="J27" s="27" t="s">
        <v>121</v>
      </c>
      <c r="K27" s="26">
        <v>1127</v>
      </c>
      <c r="L27" s="26" t="s">
        <v>122</v>
      </c>
      <c r="M27" s="27" t="s">
        <v>85</v>
      </c>
      <c r="N27" s="27"/>
      <c r="O27" s="28" t="s">
        <v>86</v>
      </c>
      <c r="P27" s="28" t="s">
        <v>47</v>
      </c>
    </row>
    <row r="28" spans="1:16" ht="12.75" customHeight="1" x14ac:dyDescent="0.2">
      <c r="A28" s="17" t="str">
        <f t="shared" si="0"/>
        <v> AC 182.14 </v>
      </c>
      <c r="B28" s="4" t="str">
        <f t="shared" si="1"/>
        <v>I</v>
      </c>
      <c r="C28" s="17">
        <f t="shared" si="2"/>
        <v>33888.300999999999</v>
      </c>
      <c r="D28" t="str">
        <f t="shared" si="3"/>
        <v>vis</v>
      </c>
      <c r="E28">
        <f>VLOOKUP(C28,Active!C$21:E$973,3,FALSE)</f>
        <v>-7472.022279881985</v>
      </c>
      <c r="F28" s="4" t="s">
        <v>59</v>
      </c>
      <c r="G28" t="str">
        <f t="shared" si="4"/>
        <v>33888.301</v>
      </c>
      <c r="H28" s="17">
        <f t="shared" si="5"/>
        <v>3156</v>
      </c>
      <c r="I28" s="26" t="s">
        <v>123</v>
      </c>
      <c r="J28" s="27" t="s">
        <v>124</v>
      </c>
      <c r="K28" s="26">
        <v>3156</v>
      </c>
      <c r="L28" s="26" t="s">
        <v>125</v>
      </c>
      <c r="M28" s="27" t="s">
        <v>85</v>
      </c>
      <c r="N28" s="27"/>
      <c r="O28" s="28" t="s">
        <v>126</v>
      </c>
      <c r="P28" s="28" t="s">
        <v>48</v>
      </c>
    </row>
    <row r="29" spans="1:16" ht="12.75" customHeight="1" x14ac:dyDescent="0.2">
      <c r="A29" s="17" t="str">
        <f t="shared" si="0"/>
        <v> AC 182.14 </v>
      </c>
      <c r="B29" s="4" t="str">
        <f t="shared" si="1"/>
        <v>I</v>
      </c>
      <c r="C29" s="17">
        <f t="shared" si="2"/>
        <v>33970.205000000002</v>
      </c>
      <c r="D29" t="str">
        <f t="shared" si="3"/>
        <v>vis</v>
      </c>
      <c r="E29">
        <f>VLOOKUP(C29,Active!C$21:E$973,3,FALSE)</f>
        <v>-7439.1404243599691</v>
      </c>
      <c r="F29" s="4" t="s">
        <v>59</v>
      </c>
      <c r="G29" t="str">
        <f t="shared" si="4"/>
        <v>33970.205</v>
      </c>
      <c r="H29" s="17">
        <f t="shared" si="5"/>
        <v>3189</v>
      </c>
      <c r="I29" s="26" t="s">
        <v>127</v>
      </c>
      <c r="J29" s="27" t="s">
        <v>128</v>
      </c>
      <c r="K29" s="26">
        <v>3189</v>
      </c>
      <c r="L29" s="26" t="s">
        <v>129</v>
      </c>
      <c r="M29" s="27" t="s">
        <v>85</v>
      </c>
      <c r="N29" s="27"/>
      <c r="O29" s="28" t="s">
        <v>126</v>
      </c>
      <c r="P29" s="28" t="s">
        <v>48</v>
      </c>
    </row>
    <row r="30" spans="1:16" ht="12.75" customHeight="1" x14ac:dyDescent="0.2">
      <c r="A30" s="17" t="str">
        <f t="shared" si="0"/>
        <v> AC 182.14 </v>
      </c>
      <c r="B30" s="4" t="str">
        <f t="shared" si="1"/>
        <v>I</v>
      </c>
      <c r="C30" s="17">
        <f t="shared" si="2"/>
        <v>34769.127999999997</v>
      </c>
      <c r="D30" t="str">
        <f t="shared" si="3"/>
        <v>vis</v>
      </c>
      <c r="E30">
        <f>VLOOKUP(C30,Active!C$21:E$973,3,FALSE)</f>
        <v>-7118.3982059186874</v>
      </c>
      <c r="F30" s="4" t="s">
        <v>59</v>
      </c>
      <c r="G30" t="str">
        <f t="shared" si="4"/>
        <v>34769.128</v>
      </c>
      <c r="H30" s="17">
        <f t="shared" si="5"/>
        <v>3510</v>
      </c>
      <c r="I30" s="26" t="s">
        <v>130</v>
      </c>
      <c r="J30" s="27" t="s">
        <v>131</v>
      </c>
      <c r="K30" s="26">
        <v>3510</v>
      </c>
      <c r="L30" s="26" t="s">
        <v>132</v>
      </c>
      <c r="M30" s="27" t="s">
        <v>85</v>
      </c>
      <c r="N30" s="27"/>
      <c r="O30" s="28" t="s">
        <v>126</v>
      </c>
      <c r="P30" s="28" t="s">
        <v>48</v>
      </c>
    </row>
    <row r="31" spans="1:16" ht="12.75" customHeight="1" x14ac:dyDescent="0.2">
      <c r="A31" s="17" t="str">
        <f t="shared" si="0"/>
        <v> AC 182.14 </v>
      </c>
      <c r="B31" s="4" t="str">
        <f t="shared" si="1"/>
        <v>I</v>
      </c>
      <c r="C31" s="17">
        <f t="shared" si="2"/>
        <v>34994.428999999996</v>
      </c>
      <c r="D31" t="str">
        <f t="shared" si="3"/>
        <v>vis</v>
      </c>
      <c r="E31">
        <f>VLOOKUP(C31,Active!C$21:E$973,3,FALSE)</f>
        <v>-7027.9470077969163</v>
      </c>
      <c r="F31" s="4" t="s">
        <v>59</v>
      </c>
      <c r="G31" t="str">
        <f t="shared" si="4"/>
        <v>34994.429</v>
      </c>
      <c r="H31" s="17">
        <f t="shared" si="5"/>
        <v>3600</v>
      </c>
      <c r="I31" s="26" t="s">
        <v>133</v>
      </c>
      <c r="J31" s="27" t="s">
        <v>134</v>
      </c>
      <c r="K31" s="26">
        <v>3600</v>
      </c>
      <c r="L31" s="26" t="s">
        <v>135</v>
      </c>
      <c r="M31" s="27" t="s">
        <v>85</v>
      </c>
      <c r="N31" s="27"/>
      <c r="O31" s="28" t="s">
        <v>126</v>
      </c>
      <c r="P31" s="28" t="s">
        <v>48</v>
      </c>
    </row>
    <row r="32" spans="1:16" ht="12.75" customHeight="1" x14ac:dyDescent="0.2">
      <c r="A32" s="17" t="str">
        <f t="shared" si="0"/>
        <v> AC 182.14 </v>
      </c>
      <c r="B32" s="4" t="str">
        <f t="shared" si="1"/>
        <v>II</v>
      </c>
      <c r="C32" s="17">
        <f t="shared" si="2"/>
        <v>35095.106</v>
      </c>
      <c r="D32" t="str">
        <f t="shared" si="3"/>
        <v>vis</v>
      </c>
      <c r="E32">
        <f>VLOOKUP(C32,Active!C$21:E$973,3,FALSE)</f>
        <v>-6987.5283888236063</v>
      </c>
      <c r="F32" s="4" t="s">
        <v>59</v>
      </c>
      <c r="G32" t="str">
        <f t="shared" si="4"/>
        <v>35095.106</v>
      </c>
      <c r="H32" s="17">
        <f t="shared" si="5"/>
        <v>3640.5</v>
      </c>
      <c r="I32" s="26" t="s">
        <v>136</v>
      </c>
      <c r="J32" s="27" t="s">
        <v>137</v>
      </c>
      <c r="K32" s="26">
        <v>3640.5</v>
      </c>
      <c r="L32" s="26" t="s">
        <v>138</v>
      </c>
      <c r="M32" s="27" t="s">
        <v>85</v>
      </c>
      <c r="N32" s="27"/>
      <c r="O32" s="28" t="s">
        <v>126</v>
      </c>
      <c r="P32" s="28" t="s">
        <v>48</v>
      </c>
    </row>
    <row r="33" spans="1:16" ht="12.75" customHeight="1" x14ac:dyDescent="0.2">
      <c r="A33" s="17" t="str">
        <f t="shared" si="0"/>
        <v>VSB 50 </v>
      </c>
      <c r="B33" s="4" t="str">
        <f t="shared" si="1"/>
        <v>I</v>
      </c>
      <c r="C33" s="17">
        <f t="shared" si="2"/>
        <v>54843.936800000003</v>
      </c>
      <c r="D33" t="str">
        <f t="shared" si="3"/>
        <v>vis</v>
      </c>
      <c r="E33">
        <f>VLOOKUP(C33,Active!C$21:E$973,3,FALSE)</f>
        <v>941.00014573297551</v>
      </c>
      <c r="F33" s="4" t="s">
        <v>59</v>
      </c>
      <c r="G33" t="str">
        <f t="shared" si="4"/>
        <v>54843.9368</v>
      </c>
      <c r="H33" s="17">
        <f t="shared" si="5"/>
        <v>11569</v>
      </c>
      <c r="I33" s="26" t="s">
        <v>139</v>
      </c>
      <c r="J33" s="27" t="s">
        <v>140</v>
      </c>
      <c r="K33" s="26" t="s">
        <v>141</v>
      </c>
      <c r="L33" s="26" t="s">
        <v>142</v>
      </c>
      <c r="M33" s="27" t="s">
        <v>64</v>
      </c>
      <c r="N33" s="27" t="s">
        <v>59</v>
      </c>
      <c r="O33" s="28" t="s">
        <v>143</v>
      </c>
      <c r="P33" s="29" t="s">
        <v>49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33" r:id="rId5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2024-03-04T05:20:01Z</dcterms:created>
  <dcterms:modified xsi:type="dcterms:W3CDTF">2024-03-04T05:20:02Z</dcterms:modified>
</cp:coreProperties>
</file>