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5C80F90-D906-49DF-A954-D8CA432F0DB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B2" i="1" l="1"/>
  <c r="C4" i="1"/>
  <c r="D4" i="1"/>
  <c r="C7" i="1"/>
  <c r="C8" i="1"/>
  <c r="F11" i="1"/>
  <c r="G11" i="1"/>
  <c r="E15" i="1"/>
  <c r="C17" i="1"/>
  <c r="Q21" i="1"/>
  <c r="Q22" i="1"/>
  <c r="Q23" i="1"/>
  <c r="E24" i="1"/>
  <c r="F24" i="1"/>
  <c r="Q24" i="1"/>
  <c r="Q25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D13" i="2"/>
  <c r="G13" i="2"/>
  <c r="C13" i="2"/>
  <c r="E13" i="2"/>
  <c r="H13" i="2"/>
  <c r="B13" i="2"/>
  <c r="E11" i="2"/>
  <c r="E22" i="1"/>
  <c r="F22" i="1"/>
  <c r="G22" i="1"/>
  <c r="I22" i="1"/>
  <c r="G24" i="1"/>
  <c r="I24" i="1"/>
  <c r="E23" i="1"/>
  <c r="F23" i="1"/>
  <c r="G23" i="1"/>
  <c r="I23" i="1"/>
  <c r="E25" i="1"/>
  <c r="F25" i="1"/>
  <c r="G25" i="1"/>
  <c r="I25" i="1"/>
  <c r="E21" i="1"/>
  <c r="F21" i="1"/>
  <c r="G21" i="1"/>
  <c r="H21" i="1"/>
  <c r="E12" i="2"/>
  <c r="C11" i="1"/>
  <c r="C12" i="1"/>
  <c r="C16" i="1" l="1"/>
  <c r="D18" i="1" s="1"/>
  <c r="O21" i="1"/>
  <c r="O22" i="1"/>
  <c r="O25" i="1"/>
  <c r="O24" i="1"/>
  <c r="C15" i="1"/>
  <c r="O23" i="1"/>
  <c r="C18" i="1" l="1"/>
  <c r="E16" i="1"/>
  <c r="E17" i="1" s="1"/>
</calcChain>
</file>

<file path=xl/sharedStrings.xml><?xml version="1.0" encoding="utf-8"?>
<sst xmlns="http://schemas.openxmlformats.org/spreadsheetml/2006/main" count="89" uniqueCount="74">
  <si>
    <t xml:space="preserve">EN Pup / GSC 6548-3365               </t>
  </si>
  <si>
    <t xml:space="preserve">EW        </t>
  </si>
  <si>
    <t>System Type:</t>
  </si>
  <si>
    <t>Kreiner Eph.</t>
  </si>
  <si>
    <t>J.M. Kreiner, 2004, Acta Astronomica, vol. 54, pp 207-210.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</si>
  <si>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</si>
  <si>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</si>
  <si>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</si>
  <si>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</si>
  <si>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</si>
  <si>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</si>
  <si>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</si>
  <si>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</si>
  <si>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</si>
  <si>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</si>
  <si>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</si>
  <si>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</si>
  <si>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JD today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</si>
  <si>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</si>
  <si>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</si>
  <si>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</si>
  <si>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</si>
  <si>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</si>
  <si>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</si>
  <si>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</si>
  <si>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</si>
  <si>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</si>
  <si>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</si>
  <si>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</si>
  <si>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</si>
  <si>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</si>
  <si>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</si>
  <si>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Kreiner</t>
  </si>
  <si>
    <t>S3</t>
  </si>
  <si>
    <t>S4</t>
  </si>
  <si>
    <t>S5</t>
  </si>
  <si>
    <t>S6</t>
  </si>
  <si>
    <t>Misc</t>
  </si>
  <si>
    <t>Lin Fit</t>
  </si>
  <si>
    <t>Q. Fit</t>
  </si>
  <si>
    <t>Date</t>
  </si>
  <si>
    <t>I</t>
  </si>
  <si>
    <t>IBVS 5502</t>
  </si>
  <si>
    <t>IBVS 5843</t>
  </si>
  <si>
    <t>OEJV 0211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</si>
  <si>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</si>
  <si>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</si>
  <si>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</si>
  <si>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</si>
  <si>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</si>
  <si>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</si>
  <si>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</si>
  <si>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</si>
  <si>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</si>
  <si>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</si>
  <si>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</si>
  <si>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2452956.9100 </t>
  </si>
  <si>
    <t> 13.11.2003 09:50 </t>
  </si>
  <si>
    <t> -0.0527 </t>
  </si>
  <si>
    <t>E </t>
  </si>
  <si>
    <t>?</t>
  </si>
  <si>
    <t> S.Dvorak </t>
  </si>
  <si>
    <t>IBVS 5502 </t>
  </si>
  <si>
    <t>2454119.7125 </t>
  </si>
  <si>
    <t> 19.01.2007 05:06 </t>
  </si>
  <si>
    <t> -0.0694 </t>
  </si>
  <si>
    <t>C </t>
  </si>
  <si>
    <t>-I</t>
  </si>
  <si>
    <t> W.Ogloza et al. </t>
  </si>
  <si>
    <t>IBVS 5843 </t>
  </si>
  <si>
    <t>2454120.7216 </t>
  </si>
  <si>
    <t> 20.01.2007 05:19 </t>
  </si>
  <si>
    <t>41382.5</t>
  </si>
  <si>
    <t> -0.0685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</si>
</sst>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13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1" fillId="0" borderId="0" applyNumberFormat="0" applyFill="0" applyBorder="0" applyProtection="0">
      <alignment vertical="top"/>
    </xf>
    <xf numFmtId="0" fontId="12" fillId="0" borderId="0"/>
  </cellStyleXfs>
  <cellXfs count="48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1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7" fillId="2" borderId="11" xfId="0" applyFont="1" applyFill="1" applyBorder="1" applyAlignment="1">
      <alignment horizontal="left" vertical="top" wrapText="1" indent="1"/>
    </xf>
    <xf numFmtId="0" fontId="7" fillId="2" borderId="11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right" vertical="top" wrapText="1"/>
    </xf>
    <xf numFmtId="0" fontId="11" fillId="2" borderId="11" xfId="5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EN Pup - O-C Diagr.</a:t>
            </a:r>
          </a:p>
        </c:rich>
      </c:tx>
      <c:layout>
        <c:manualLayout>
          <c:xMode val="edge"/>
          <c:yMode val="edge"/>
          <c:x val="0.3789007577618919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1209260060917"/>
          <c:y val="0.12812875867993978"/>
          <c:w val="0.81079804846088144"/>
          <c:h val="0.655657232035184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679.5</c:v>
                </c:pt>
                <c:pt idx="2">
                  <c:v>2409.5</c:v>
                </c:pt>
                <c:pt idx="3">
                  <c:v>2411</c:v>
                </c:pt>
                <c:pt idx="4">
                  <c:v>8308.5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B1-4EA8-97A8-F7F39C979D5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679.5</c:v>
                </c:pt>
                <c:pt idx="2">
                  <c:v>2409.5</c:v>
                </c:pt>
                <c:pt idx="3">
                  <c:v>2411</c:v>
                </c:pt>
                <c:pt idx="4">
                  <c:v>8308.5</c:v>
                </c:pt>
              </c:numCache>
            </c:numRef>
          </c:xVal>
          <c:yVal>
            <c:numRef>
              <c:f>Active!$I$21:$I$250</c:f>
              <c:numCache>
                <c:formatCode>General</c:formatCode>
                <c:ptCount val="230"/>
                <c:pt idx="1">
                  <c:v>3.6956000039936043E-3</c:v>
                </c:pt>
                <c:pt idx="2">
                  <c:v>-1.5403999932459556E-3</c:v>
                </c:pt>
                <c:pt idx="3">
                  <c:v>-6.5519999770913273E-4</c:v>
                </c:pt>
                <c:pt idx="4">
                  <c:v>2.1432799840113148E-2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B1-4EA8-97A8-F7F39C979D5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679.5</c:v>
                </c:pt>
                <c:pt idx="2">
                  <c:v>2409.5</c:v>
                </c:pt>
                <c:pt idx="3">
                  <c:v>2411</c:v>
                </c:pt>
                <c:pt idx="4">
                  <c:v>8308.5</c:v>
                </c:pt>
              </c:numCache>
            </c:numRef>
          </c:xVal>
          <c:yVal>
            <c:numRef>
              <c:f>Active!$J$21:$J$250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B1-4EA8-97A8-F7F39C979D5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679.5</c:v>
                </c:pt>
                <c:pt idx="2">
                  <c:v>2409.5</c:v>
                </c:pt>
                <c:pt idx="3">
                  <c:v>2411</c:v>
                </c:pt>
                <c:pt idx="4">
                  <c:v>8308.5</c:v>
                </c:pt>
              </c:numCache>
            </c:numRef>
          </c:xVal>
          <c:yVal>
            <c:numRef>
              <c:f>Active!$K$21:$K$250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B1-4EA8-97A8-F7F39C979D5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679.5</c:v>
                </c:pt>
                <c:pt idx="2">
                  <c:v>2409.5</c:v>
                </c:pt>
                <c:pt idx="3">
                  <c:v>2411</c:v>
                </c:pt>
                <c:pt idx="4">
                  <c:v>8308.5</c:v>
                </c:pt>
              </c:numCache>
            </c:numRef>
          </c:xVal>
          <c:yVal>
            <c:numRef>
              <c:f>Active!$L$21:$L$250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B1-4EA8-97A8-F7F39C979D5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679.5</c:v>
                </c:pt>
                <c:pt idx="2">
                  <c:v>2409.5</c:v>
                </c:pt>
                <c:pt idx="3">
                  <c:v>2411</c:v>
                </c:pt>
                <c:pt idx="4">
                  <c:v>8308.5</c:v>
                </c:pt>
              </c:numCache>
            </c:numRef>
          </c:xVal>
          <c:yVal>
            <c:numRef>
              <c:f>Active!$M$21:$M$250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B1-4EA8-97A8-F7F39C979D5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679.5</c:v>
                </c:pt>
                <c:pt idx="2">
                  <c:v>2409.5</c:v>
                </c:pt>
                <c:pt idx="3">
                  <c:v>2411</c:v>
                </c:pt>
                <c:pt idx="4">
                  <c:v>8308.5</c:v>
                </c:pt>
              </c:numCache>
            </c:numRef>
          </c:xVal>
          <c:yVal>
            <c:numRef>
              <c:f>Active!$N$21:$N$250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B1-4EA8-97A8-F7F39C979D5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0</c:v>
                </c:pt>
                <c:pt idx="1">
                  <c:v>679.5</c:v>
                </c:pt>
                <c:pt idx="2">
                  <c:v>2409.5</c:v>
                </c:pt>
                <c:pt idx="3">
                  <c:v>2411</c:v>
                </c:pt>
                <c:pt idx="4">
                  <c:v>8308.5</c:v>
                </c:pt>
              </c:numCache>
            </c:numRef>
          </c:xVal>
          <c:yVal>
            <c:numRef>
              <c:f>Active!$O$21:$O$250</c:f>
              <c:numCache>
                <c:formatCode>General</c:formatCode>
                <c:ptCount val="230"/>
                <c:pt idx="0">
                  <c:v>-2.60810680689238E-3</c:v>
                </c:pt>
                <c:pt idx="1">
                  <c:v>-8.3790147129232076E-4</c:v>
                </c:pt>
                <c:pt idx="2">
                  <c:v>3.6690230770345406E-3</c:v>
                </c:pt>
                <c:pt idx="3">
                  <c:v>3.6729308150822235E-3</c:v>
                </c:pt>
                <c:pt idx="4">
                  <c:v>1.9036854239219601E-2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B1-4EA8-97A8-F7F39C979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708264"/>
        <c:axId val="1"/>
      </c:scatterChart>
      <c:valAx>
        <c:axId val="928708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31515562783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7082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39688705330851"/>
          <c:y val="0.91591875339906836"/>
          <c:w val="0.659733008856805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14F0FD5-AE03-6C7B-ABBB-FF0AAECF9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43" TargetMode="External"/><Relationship Id="rId2" Type="http://schemas.openxmlformats.org/officeDocument/2006/relationships/hyperlink" Target="http://www.konkoly.hu/cgi-bin/IBVS?5843" TargetMode="External"/><Relationship Id="rId1" Type="http://schemas.openxmlformats.org/officeDocument/2006/relationships/hyperlink" Target="http://www.konkoly.hu/cgi-bin/IBVS?5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7" sqref="D7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 x14ac:dyDescent="0.3">
      <c r="A1" s="2" t="s">
        <v>0</v>
      </c>
      <c r="F1" s="3">
        <v>52500.184999999998</v>
      </c>
      <c r="G1" s="3">
        <v>0.67214320000000005</v>
      </c>
      <c r="H1" s="3" t="s">
        <v>1</v>
      </c>
    </row>
    <row r="2" spans="1:8" s="21" customFormat="1" ht="12.95" customHeight="1" x14ac:dyDescent="0.2">
      <c r="A2" s="21" t="s">
        <v>2</v>
      </c>
      <c r="B2" s="21" t="str">
        <f>H1</f>
        <v xml:space="preserve">EW        </v>
      </c>
      <c r="C2" s="22"/>
      <c r="D2" s="22"/>
    </row>
    <row r="3" spans="1:8" s="21" customFormat="1" ht="12.95" customHeight="1" x14ac:dyDescent="0.2"/>
    <row r="4" spans="1:8" s="21" customFormat="1" ht="12.95" customHeight="1" x14ac:dyDescent="0.2">
      <c r="A4" s="23" t="s">
        <v>3</v>
      </c>
      <c r="C4" s="24">
        <f>F1</f>
        <v>52500.184999999998</v>
      </c>
      <c r="D4" s="25">
        <f>G1</f>
        <v>0.67214320000000005</v>
      </c>
    </row>
    <row r="5" spans="1:8" s="21" customFormat="1" ht="12.95" customHeight="1" x14ac:dyDescent="0.2">
      <c r="C5" s="26" t="s">
        <v>4</v>
      </c>
    </row>
    <row r="6" spans="1:8" s="21" customFormat="1" ht="12.95" customHeight="1" x14ac:dyDescent="0.2">
      <c r="A6" s="23" t="s">
        <v>5</v>
      </c>
    </row>
    <row r="7" spans="1:8" s="21" customFormat="1" ht="12.95" customHeight="1" x14ac:dyDescent="0.2">
      <c r="A7" s="21" t="s">
        <v>6</v>
      </c>
      <c r="C7" s="21">
        <f>C4</f>
        <v>52500.184999999998</v>
      </c>
    </row>
    <row r="8" spans="1:8" s="21" customFormat="1" ht="12.95" customHeight="1" x14ac:dyDescent="0.2">
      <c r="A8" s="21" t="s">
        <v>7</v>
      </c>
      <c r="C8" s="21">
        <f>D4</f>
        <v>0.67214320000000005</v>
      </c>
      <c r="D8" s="27"/>
    </row>
    <row r="9" spans="1:8" s="21" customFormat="1" ht="12.95" customHeight="1" x14ac:dyDescent="0.2">
      <c r="A9" s="28" t="s">
        <v>8</v>
      </c>
      <c r="C9" s="27">
        <v>-9.5</v>
      </c>
      <c r="D9" s="21" t="s">
        <v>9</v>
      </c>
    </row>
    <row r="10" spans="1:8" s="21" customFormat="1" ht="12.95" customHeight="1" x14ac:dyDescent="0.2">
      <c r="C10" s="29" t="s">
        <v>10</v>
      </c>
      <c r="D10" s="29" t="s">
        <v>11</v>
      </c>
    </row>
    <row r="11" spans="1:8" s="21" customFormat="1" ht="12.95" customHeight="1" x14ac:dyDescent="0.2">
      <c r="A11" s="21" t="s">
        <v>12</v>
      </c>
      <c r="C11" s="30">
        <f ca="1">INTERCEPT(INDIRECT($G$11):G975,INDIRECT($F$11):F975)</f>
        <v>-2.60810680689238E-3</v>
      </c>
      <c r="D11" s="22"/>
      <c r="F11" s="31" t="str">
        <f>"F"&amp;E19</f>
        <v>F21</v>
      </c>
      <c r="G11" s="30" t="str">
        <f>"G"&amp;E19</f>
        <v>G21</v>
      </c>
    </row>
    <row r="12" spans="1:8" s="21" customFormat="1" ht="12.95" customHeight="1" x14ac:dyDescent="0.2">
      <c r="A12" s="21" t="s">
        <v>13</v>
      </c>
      <c r="C12" s="30">
        <f ca="1">SLOPE(INDIRECT($G$11):G975,INDIRECT($F$11):F975)</f>
        <v>2.6051586984548334E-6</v>
      </c>
      <c r="D12" s="22"/>
    </row>
    <row r="13" spans="1:8" s="21" customFormat="1" ht="12.95" customHeight="1" x14ac:dyDescent="0.2">
      <c r="A13" s="21" t="s">
        <v>14</v>
      </c>
      <c r="C13" s="22" t="s">
        <v>15</v>
      </c>
      <c r="D13" s="22"/>
    </row>
    <row r="14" spans="1:8" s="21" customFormat="1" ht="12.95" customHeight="1" x14ac:dyDescent="0.2"/>
    <row r="15" spans="1:8" s="21" customFormat="1" ht="12.95" customHeight="1" x14ac:dyDescent="0.2">
      <c r="A15" s="23" t="s">
        <v>16</v>
      </c>
      <c r="C15" s="32">
        <f ca="1">(C7+C11)+(C8+C12)*INT(MAX(F21:F3516))</f>
        <v>58084.369741151662</v>
      </c>
      <c r="D15" s="33" t="s">
        <v>17</v>
      </c>
      <c r="E15" s="30">
        <f ca="1">TODAY()+15018.5-B9/24</f>
        <v>60373.5</v>
      </c>
    </row>
    <row r="16" spans="1:8" s="21" customFormat="1" ht="12.95" customHeight="1" x14ac:dyDescent="0.2">
      <c r="A16" s="23" t="s">
        <v>18</v>
      </c>
      <c r="C16" s="32">
        <f ca="1">+C8+C12</f>
        <v>0.67214580515869848</v>
      </c>
      <c r="D16" s="33" t="s">
        <v>19</v>
      </c>
      <c r="E16" s="30">
        <f ca="1">ROUND(2*(E15-C15)/C16,0)/2+1</f>
        <v>3406.5</v>
      </c>
    </row>
    <row r="17" spans="1:17" s="21" customFormat="1" ht="12.95" customHeight="1" x14ac:dyDescent="0.2">
      <c r="A17" s="33" t="s">
        <v>20</v>
      </c>
      <c r="C17" s="21">
        <f>COUNT(C21:C2174)</f>
        <v>5</v>
      </c>
      <c r="D17" s="33" t="s">
        <v>21</v>
      </c>
      <c r="E17" s="34">
        <f ca="1">+C15+C16*E16-15018.5-C9/24</f>
        <v>45355.930259758105</v>
      </c>
    </row>
    <row r="18" spans="1:17" s="21" customFormat="1" ht="12.95" customHeight="1" x14ac:dyDescent="0.2">
      <c r="A18" s="23" t="s">
        <v>22</v>
      </c>
      <c r="C18" s="35">
        <f ca="1">+C15</f>
        <v>58084.369741151662</v>
      </c>
      <c r="D18" s="36">
        <f ca="1">+C16</f>
        <v>0.67214580515869848</v>
      </c>
      <c r="E18" s="37" t="s">
        <v>23</v>
      </c>
    </row>
    <row r="19" spans="1:17" s="21" customFormat="1" ht="12.95" customHeight="1" x14ac:dyDescent="0.2">
      <c r="A19" s="33" t="s">
        <v>24</v>
      </c>
      <c r="E19" s="38">
        <v>21</v>
      </c>
    </row>
    <row r="20" spans="1:17" s="21" customFormat="1" ht="12.95" customHeight="1" x14ac:dyDescent="0.2">
      <c r="A20" s="29" t="s">
        <v>25</v>
      </c>
      <c r="B20" s="29" t="s">
        <v>26</v>
      </c>
      <c r="C20" s="29" t="s">
        <v>27</v>
      </c>
      <c r="D20" s="29" t="s">
        <v>28</v>
      </c>
      <c r="E20" s="29" t="s">
        <v>29</v>
      </c>
      <c r="F20" s="29" t="s">
        <v>30</v>
      </c>
      <c r="G20" s="29" t="s">
        <v>31</v>
      </c>
      <c r="H20" s="39" t="s">
        <v>32</v>
      </c>
      <c r="I20" s="39" t="s">
        <v>47</v>
      </c>
      <c r="J20" s="39" t="s">
        <v>33</v>
      </c>
      <c r="K20" s="39" t="s">
        <v>34</v>
      </c>
      <c r="L20" s="39" t="s">
        <v>35</v>
      </c>
      <c r="M20" s="39" t="s">
        <v>36</v>
      </c>
      <c r="N20" s="39" t="s">
        <v>37</v>
      </c>
      <c r="O20" s="39" t="s">
        <v>38</v>
      </c>
      <c r="P20" s="39" t="s">
        <v>39</v>
      </c>
      <c r="Q20" s="29" t="s">
        <v>40</v>
      </c>
    </row>
    <row r="21" spans="1:17" s="21" customFormat="1" ht="12.95" customHeight="1" x14ac:dyDescent="0.2">
      <c r="A21" s="40" t="s">
        <v>32</v>
      </c>
      <c r="B21" s="41" t="s">
        <v>41</v>
      </c>
      <c r="C21" s="40">
        <v>52500.184999999998</v>
      </c>
      <c r="D21" s="4"/>
      <c r="E21" s="21">
        <f>+(C21-C$7)/C$8</f>
        <v>0</v>
      </c>
      <c r="F21" s="21">
        <f>ROUND(2*E21,0)/2</f>
        <v>0</v>
      </c>
      <c r="G21" s="21">
        <f>+C21-(C$7+F21*C$8)</f>
        <v>0</v>
      </c>
      <c r="H21" s="21">
        <f>+G21</f>
        <v>0</v>
      </c>
      <c r="O21" s="21">
        <f ca="1">+C$11+C$12*$F21</f>
        <v>-2.60810680689238E-3</v>
      </c>
      <c r="Q21" s="42">
        <f>+C21-15018.5</f>
        <v>37481.684999999998</v>
      </c>
    </row>
    <row r="22" spans="1:17" s="21" customFormat="1" ht="12.95" customHeight="1" x14ac:dyDescent="0.2">
      <c r="A22" s="4" t="s">
        <v>42</v>
      </c>
      <c r="B22" s="5" t="s">
        <v>41</v>
      </c>
      <c r="C22" s="6">
        <v>52956.91</v>
      </c>
      <c r="D22" s="7">
        <v>4.0000000000000002E-4</v>
      </c>
      <c r="E22" s="21">
        <f>+(C22-C$7)/C$8</f>
        <v>679.50549823312326</v>
      </c>
      <c r="F22" s="21">
        <f>ROUND(2*E22,0)/2</f>
        <v>679.5</v>
      </c>
      <c r="G22" s="21">
        <f>+C22-(C$7+F22*C$8)</f>
        <v>3.6956000039936043E-3</v>
      </c>
      <c r="I22" s="21">
        <f>+G22</f>
        <v>3.6956000039936043E-3</v>
      </c>
      <c r="O22" s="21">
        <f ca="1">+C$11+C$12*$F22</f>
        <v>-8.3790147129232076E-4</v>
      </c>
      <c r="Q22" s="42">
        <f>+C22-15018.5</f>
        <v>37938.410000000003</v>
      </c>
    </row>
    <row r="23" spans="1:17" s="21" customFormat="1" ht="12.95" customHeight="1" x14ac:dyDescent="0.2">
      <c r="A23" s="43" t="s">
        <v>43</v>
      </c>
      <c r="B23" s="44" t="s">
        <v>41</v>
      </c>
      <c r="C23" s="4">
        <v>54119.712500000001</v>
      </c>
      <c r="D23" s="4">
        <v>1.2999999999999999E-3</v>
      </c>
      <c r="E23" s="21">
        <f>+(C23-C$7)/C$8</f>
        <v>2409.4977082264668</v>
      </c>
      <c r="F23" s="21">
        <f>ROUND(2*E23,0)/2</f>
        <v>2409.5</v>
      </c>
      <c r="G23" s="21">
        <f>+C23-(C$7+F23*C$8)</f>
        <v>-1.5403999932459556E-3</v>
      </c>
      <c r="I23" s="21">
        <f>+G23</f>
        <v>-1.5403999932459556E-3</v>
      </c>
      <c r="O23" s="21">
        <f ca="1">+C$11+C$12*$F23</f>
        <v>3.6690230770345406E-3</v>
      </c>
      <c r="Q23" s="42">
        <f>+C23-15018.5</f>
        <v>39101.212500000001</v>
      </c>
    </row>
    <row r="24" spans="1:17" s="21" customFormat="1" ht="12.95" customHeight="1" x14ac:dyDescent="0.2">
      <c r="A24" s="43" t="s">
        <v>43</v>
      </c>
      <c r="B24" s="44" t="s">
        <v>41</v>
      </c>
      <c r="C24" s="4">
        <v>54120.721599999997</v>
      </c>
      <c r="D24" s="4">
        <v>5.9999999999999995E-4</v>
      </c>
      <c r="E24" s="21">
        <f>+(C24-C$7)/C$8</f>
        <v>2410.9990252077228</v>
      </c>
      <c r="F24" s="21">
        <f>ROUND(2*E24,0)/2</f>
        <v>2411</v>
      </c>
      <c r="G24" s="21">
        <f>+C24-(C$7+F24*C$8)</f>
        <v>-6.5519999770913273E-4</v>
      </c>
      <c r="I24" s="21">
        <f>+G24</f>
        <v>-6.5519999770913273E-4</v>
      </c>
      <c r="O24" s="21">
        <f ca="1">+C$11+C$12*$F24</f>
        <v>3.6729308150822235E-3</v>
      </c>
      <c r="Q24" s="42">
        <f>+C24-15018.5</f>
        <v>39102.221599999997</v>
      </c>
    </row>
    <row r="25" spans="1:17" s="21" customFormat="1" ht="12.95" customHeight="1" x14ac:dyDescent="0.2">
      <c r="A25" s="45" t="s">
        <v>44</v>
      </c>
      <c r="B25" s="46" t="s">
        <v>41</v>
      </c>
      <c r="C25" s="47">
        <v>58084.708209999837</v>
      </c>
      <c r="D25" s="47">
        <v>2.9999999999999997E-4</v>
      </c>
      <c r="E25" s="21">
        <f>+(C25-C$7)/C$8</f>
        <v>8308.5318872523585</v>
      </c>
      <c r="F25" s="21">
        <f>ROUND(2*E25,0)/2</f>
        <v>8308.5</v>
      </c>
      <c r="G25" s="21">
        <f>+C25-(C$7+F25*C$8)</f>
        <v>2.1432799840113148E-2</v>
      </c>
      <c r="I25" s="21">
        <f>+G25</f>
        <v>2.1432799840113148E-2</v>
      </c>
      <c r="O25" s="21">
        <f ca="1">+C$11+C$12*$F25</f>
        <v>1.9036854239219601E-2</v>
      </c>
      <c r="Q25" s="42">
        <f>+C25-15018.5</f>
        <v>43066.208209999837</v>
      </c>
    </row>
    <row r="26" spans="1:17" s="21" customFormat="1" ht="12.95" customHeight="1" x14ac:dyDescent="0.2">
      <c r="Q26" s="42"/>
    </row>
    <row r="27" spans="1:17" s="21" customFormat="1" ht="12.95" customHeight="1" x14ac:dyDescent="0.2"/>
    <row r="28" spans="1:17" s="21" customFormat="1" ht="12.95" customHeight="1" x14ac:dyDescent="0.2"/>
    <row r="29" spans="1:17" s="21" customFormat="1" ht="12.95" customHeight="1" x14ac:dyDescent="0.2"/>
    <row r="30" spans="1:17" s="21" customFormat="1" ht="12.95" customHeight="1" x14ac:dyDescent="0.2"/>
    <row r="31" spans="1:17" s="21" customFormat="1" ht="12.95" customHeight="1" x14ac:dyDescent="0.2"/>
    <row r="32" spans="1:17" s="21" customFormat="1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A11" sqref="A11"/>
    </sheetView>
  </sheetViews>
  <sheetFormatPr defaultRowHeight="12.75" x14ac:dyDescent="0.2"/>
  <cols>
    <col min="1" max="1" width="19.7109375" style="8" customWidth="1"/>
    <col min="2" max="2" width="4.42578125" customWidth="1"/>
    <col min="3" max="3" width="12.7109375" style="8" customWidth="1"/>
    <col min="4" max="4" width="5.42578125" customWidth="1"/>
    <col min="5" max="5" width="14.85546875" customWidth="1"/>
    <col min="7" max="7" width="12" customWidth="1"/>
    <col min="8" max="8" width="14.140625" style="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9" t="s">
        <v>45</v>
      </c>
      <c r="I1" s="10" t="s">
        <v>46</v>
      </c>
      <c r="J1" s="11" t="s">
        <v>47</v>
      </c>
    </row>
    <row r="2" spans="1:16" x14ac:dyDescent="0.2">
      <c r="I2" s="12" t="s">
        <v>48</v>
      </c>
      <c r="J2" s="13" t="s">
        <v>49</v>
      </c>
    </row>
    <row r="3" spans="1:16" x14ac:dyDescent="0.2">
      <c r="A3" s="14" t="s">
        <v>50</v>
      </c>
      <c r="I3" s="12" t="s">
        <v>51</v>
      </c>
      <c r="J3" s="13" t="s">
        <v>52</v>
      </c>
    </row>
    <row r="4" spans="1:16" x14ac:dyDescent="0.2">
      <c r="I4" s="12" t="s">
        <v>53</v>
      </c>
      <c r="J4" s="13" t="s">
        <v>52</v>
      </c>
    </row>
    <row r="5" spans="1:16" x14ac:dyDescent="0.2">
      <c r="I5" s="15" t="s">
        <v>54</v>
      </c>
      <c r="J5" s="16" t="s">
        <v>55</v>
      </c>
    </row>
    <row r="11" spans="1:16" ht="12.75" customHeight="1" x14ac:dyDescent="0.2">
      <c r="A11" s="8" t="str">
        <f>P11</f>
        <v>IBVS 5502 </v>
      </c>
      <c r="B11" s="3" t="str">
        <f>IF(H11=INT(H11),"I","II")</f>
        <v>I</v>
      </c>
      <c r="C11" s="8">
        <f>1*G11</f>
        <v>52956.91</v>
      </c>
      <c r="D11" t="str">
        <f>VLOOKUP(F11,I$1:J$5,2,FALSE)</f>
        <v>vis</v>
      </c>
      <c r="E11">
        <f>VLOOKUP(C11,Active!C$21:E$973,3,FALSE)</f>
        <v>679.50549823312326</v>
      </c>
      <c r="F11" s="3" t="s">
        <v>54</v>
      </c>
      <c r="G11" t="str">
        <f>MID(I11,3,LEN(I11)-3)</f>
        <v>52956.9100</v>
      </c>
      <c r="H11" s="8">
        <f>1*K11</f>
        <v>39651</v>
      </c>
      <c r="I11" s="17" t="s">
        <v>56</v>
      </c>
      <c r="J11" s="18" t="s">
        <v>57</v>
      </c>
      <c r="K11" s="17">
        <v>39651</v>
      </c>
      <c r="L11" s="17" t="s">
        <v>58</v>
      </c>
      <c r="M11" s="18" t="s">
        <v>59</v>
      </c>
      <c r="N11" s="18" t="s">
        <v>60</v>
      </c>
      <c r="O11" s="19" t="s">
        <v>61</v>
      </c>
      <c r="P11" s="20" t="s">
        <v>62</v>
      </c>
    </row>
    <row r="12" spans="1:16" ht="12.75" customHeight="1" x14ac:dyDescent="0.2">
      <c r="A12" s="8" t="str">
        <f>P12</f>
        <v>IBVS 5843 </v>
      </c>
      <c r="B12" s="3" t="str">
        <f>IF(H12=INT(H12),"I","II")</f>
        <v>I</v>
      </c>
      <c r="C12" s="8">
        <f>1*G12</f>
        <v>54119.712500000001</v>
      </c>
      <c r="D12" t="str">
        <f>VLOOKUP(F12,I$1:J$5,2,FALSE)</f>
        <v>vis</v>
      </c>
      <c r="E12">
        <f>VLOOKUP(C12,Active!C$21:E$973,3,FALSE)</f>
        <v>2409.4977082264668</v>
      </c>
      <c r="F12" s="3" t="s">
        <v>54</v>
      </c>
      <c r="G12" t="str">
        <f>MID(I12,3,LEN(I12)-3)</f>
        <v>54119.7125</v>
      </c>
      <c r="H12" s="8">
        <f>1*K12</f>
        <v>41381</v>
      </c>
      <c r="I12" s="17" t="s">
        <v>63</v>
      </c>
      <c r="J12" s="18" t="s">
        <v>64</v>
      </c>
      <c r="K12" s="17">
        <v>41381</v>
      </c>
      <c r="L12" s="17" t="s">
        <v>65</v>
      </c>
      <c r="M12" s="18" t="s">
        <v>66</v>
      </c>
      <c r="N12" s="18" t="s">
        <v>67</v>
      </c>
      <c r="O12" s="19" t="s">
        <v>68</v>
      </c>
      <c r="P12" s="20" t="s">
        <v>69</v>
      </c>
    </row>
    <row r="13" spans="1:16" ht="12.75" customHeight="1" x14ac:dyDescent="0.2">
      <c r="A13" s="8" t="str">
        <f>P13</f>
        <v>IBVS 5843 </v>
      </c>
      <c r="B13" s="3" t="str">
        <f>IF(H13=INT(H13),"I","II")</f>
        <v>II</v>
      </c>
      <c r="C13" s="8">
        <f>1*G13</f>
        <v>54120.721599999997</v>
      </c>
      <c r="D13" t="str">
        <f>VLOOKUP(F13,I$1:J$5,2,FALSE)</f>
        <v>vis</v>
      </c>
      <c r="E13">
        <f>VLOOKUP(C13,Active!C$21:E$973,3,FALSE)</f>
        <v>2410.9990252077228</v>
      </c>
      <c r="F13" s="3" t="s">
        <v>54</v>
      </c>
      <c r="G13" t="str">
        <f>MID(I13,3,LEN(I13)-3)</f>
        <v>54120.7216</v>
      </c>
      <c r="H13" s="8">
        <f>1*K13</f>
        <v>41382.5</v>
      </c>
      <c r="I13" s="17" t="s">
        <v>70</v>
      </c>
      <c r="J13" s="18" t="s">
        <v>71</v>
      </c>
      <c r="K13" s="17" t="s">
        <v>72</v>
      </c>
      <c r="L13" s="17" t="s">
        <v>73</v>
      </c>
      <c r="M13" s="18" t="s">
        <v>66</v>
      </c>
      <c r="N13" s="18" t="s">
        <v>67</v>
      </c>
      <c r="O13" s="19" t="s">
        <v>68</v>
      </c>
      <c r="P13" s="20" t="s">
        <v>69</v>
      </c>
    </row>
  </sheetData>
  <sheetProtection selectLockedCells="1" selectUnlockedCells="1"/>
  <hyperlinks>
    <hyperlink ref="P11" r:id="rId1"/>
    <hyperlink ref="P12" r:id="rId2"/>
    <hyperlink ref="P13" r:id="rId3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2024-03-04T05:44:33Z</dcterms:created>
  <dcterms:modified xsi:type="dcterms:W3CDTF">2024-03-04T05:44:34Z</dcterms:modified>
</cp:coreProperties>
</file>