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14594D1-30DE-42E4-A8D3-B74CFBD911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52" i="1"/>
  <c r="F52" i="1"/>
  <c r="G52" i="1" s="1"/>
  <c r="K52" i="1" s="1"/>
  <c r="Q52" i="1"/>
  <c r="D9" i="1"/>
  <c r="C9" i="1"/>
  <c r="Q50" i="1"/>
  <c r="C4" i="1"/>
  <c r="C7" i="1"/>
  <c r="D4" i="1"/>
  <c r="C8" i="1"/>
  <c r="C28" i="1"/>
  <c r="E28" i="1"/>
  <c r="F28" i="1"/>
  <c r="Q43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13" i="2"/>
  <c r="C13" i="2"/>
  <c r="G38" i="2"/>
  <c r="C38" i="2"/>
  <c r="E38" i="2"/>
  <c r="G37" i="2"/>
  <c r="C37" i="2"/>
  <c r="E37" i="2"/>
  <c r="G36" i="2"/>
  <c r="C36" i="2"/>
  <c r="E36" i="2"/>
  <c r="G35" i="2"/>
  <c r="C35" i="2"/>
  <c r="E35" i="2"/>
  <c r="G12" i="2"/>
  <c r="C12" i="2"/>
  <c r="G34" i="2"/>
  <c r="C34" i="2"/>
  <c r="G11" i="2"/>
  <c r="C11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13" i="2"/>
  <c r="D13" i="2"/>
  <c r="B13" i="2"/>
  <c r="A13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12" i="2"/>
  <c r="D12" i="2"/>
  <c r="B12" i="2"/>
  <c r="A12" i="2"/>
  <c r="H34" i="2"/>
  <c r="D34" i="2"/>
  <c r="B34" i="2"/>
  <c r="A34" i="2"/>
  <c r="H11" i="2"/>
  <c r="D11" i="2"/>
  <c r="B11" i="2"/>
  <c r="A11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Q49" i="1"/>
  <c r="Q45" i="1"/>
  <c r="Q46" i="1"/>
  <c r="Q47" i="1"/>
  <c r="Q48" i="1"/>
  <c r="F16" i="1"/>
  <c r="F17" i="1" s="1"/>
  <c r="C17" i="1"/>
  <c r="Q42" i="1"/>
  <c r="Q44" i="1"/>
  <c r="B2" i="1"/>
  <c r="Q28" i="1"/>
  <c r="E26" i="2"/>
  <c r="E31" i="2"/>
  <c r="E22" i="2"/>
  <c r="E11" i="2"/>
  <c r="E17" i="2"/>
  <c r="E18" i="2"/>
  <c r="E13" i="2"/>
  <c r="E43" i="1"/>
  <c r="F43" i="1"/>
  <c r="E45" i="1"/>
  <c r="F45" i="1"/>
  <c r="E47" i="1"/>
  <c r="F47" i="1"/>
  <c r="E49" i="1"/>
  <c r="F49" i="1"/>
  <c r="G49" i="1"/>
  <c r="K49" i="1"/>
  <c r="E22" i="1"/>
  <c r="F22" i="1"/>
  <c r="G24" i="1"/>
  <c r="I24" i="1"/>
  <c r="E31" i="1"/>
  <c r="F31" i="1"/>
  <c r="G33" i="1"/>
  <c r="I33" i="1"/>
  <c r="E39" i="1"/>
  <c r="F39" i="1"/>
  <c r="E25" i="1"/>
  <c r="F25" i="1"/>
  <c r="G25" i="1"/>
  <c r="I25" i="1"/>
  <c r="E34" i="1"/>
  <c r="F34" i="1"/>
  <c r="G36" i="1"/>
  <c r="I36" i="1"/>
  <c r="G43" i="1"/>
  <c r="K43" i="1"/>
  <c r="G45" i="1"/>
  <c r="K45" i="1"/>
  <c r="G47" i="1"/>
  <c r="K47" i="1"/>
  <c r="E42" i="1"/>
  <c r="F42" i="1"/>
  <c r="G22" i="1"/>
  <c r="I22" i="1"/>
  <c r="E29" i="1"/>
  <c r="F29" i="1"/>
  <c r="G31" i="1"/>
  <c r="I31" i="1"/>
  <c r="E37" i="1"/>
  <c r="F37" i="1"/>
  <c r="G39" i="1"/>
  <c r="I39" i="1"/>
  <c r="E23" i="1"/>
  <c r="F23" i="1"/>
  <c r="E32" i="1"/>
  <c r="F32" i="1"/>
  <c r="G34" i="1"/>
  <c r="I34" i="1"/>
  <c r="E40" i="1"/>
  <c r="F40" i="1"/>
  <c r="E44" i="1"/>
  <c r="F44" i="1"/>
  <c r="E46" i="1"/>
  <c r="F46" i="1"/>
  <c r="G46" i="1"/>
  <c r="K46" i="1"/>
  <c r="E48" i="1"/>
  <c r="F48" i="1"/>
  <c r="E50" i="1"/>
  <c r="F50" i="1"/>
  <c r="G42" i="1"/>
  <c r="E26" i="1"/>
  <c r="F26" i="1"/>
  <c r="G26" i="1"/>
  <c r="I26" i="1"/>
  <c r="G29" i="1"/>
  <c r="I29" i="1"/>
  <c r="E35" i="1"/>
  <c r="F35" i="1"/>
  <c r="G35" i="1"/>
  <c r="I35" i="1"/>
  <c r="G37" i="1"/>
  <c r="I37" i="1"/>
  <c r="E21" i="1"/>
  <c r="F21" i="1"/>
  <c r="G21" i="1"/>
  <c r="I21" i="1"/>
  <c r="G23" i="1"/>
  <c r="I23" i="1"/>
  <c r="E30" i="1"/>
  <c r="F30" i="1"/>
  <c r="G32" i="1"/>
  <c r="I32" i="1"/>
  <c r="E38" i="1"/>
  <c r="F38" i="1"/>
  <c r="G38" i="1"/>
  <c r="I38" i="1"/>
  <c r="G40" i="1"/>
  <c r="I40" i="1"/>
  <c r="G44" i="1"/>
  <c r="K44" i="1"/>
  <c r="G48" i="1"/>
  <c r="K48" i="1"/>
  <c r="G50" i="1"/>
  <c r="K50" i="1"/>
  <c r="E24" i="1"/>
  <c r="F24" i="1"/>
  <c r="E33" i="1"/>
  <c r="F33" i="1"/>
  <c r="E41" i="1"/>
  <c r="F41" i="1"/>
  <c r="G41" i="1"/>
  <c r="I41" i="1"/>
  <c r="E27" i="1"/>
  <c r="F27" i="1"/>
  <c r="G27" i="1"/>
  <c r="I27" i="1"/>
  <c r="G30" i="1"/>
  <c r="I30" i="1"/>
  <c r="E36" i="1"/>
  <c r="F36" i="1"/>
  <c r="E19" i="2"/>
  <c r="E25" i="2"/>
  <c r="G28" i="1"/>
  <c r="I28" i="1"/>
  <c r="E28" i="2"/>
  <c r="E14" i="2"/>
  <c r="E12" i="2"/>
  <c r="E32" i="2"/>
  <c r="E33" i="2"/>
  <c r="E30" i="2"/>
  <c r="E27" i="2"/>
  <c r="K42" i="1"/>
  <c r="E24" i="2"/>
  <c r="E20" i="2"/>
  <c r="E21" i="2"/>
  <c r="E34" i="2"/>
  <c r="E29" i="2"/>
  <c r="E15" i="2"/>
  <c r="E23" i="2"/>
  <c r="E16" i="2"/>
  <c r="C12" i="1"/>
  <c r="C11" i="1"/>
  <c r="O52" i="1" l="1"/>
  <c r="O51" i="1"/>
  <c r="O33" i="1"/>
  <c r="O28" i="1"/>
  <c r="O49" i="1"/>
  <c r="O23" i="1"/>
  <c r="O47" i="1"/>
  <c r="O36" i="1"/>
  <c r="O21" i="1"/>
  <c r="C15" i="1"/>
  <c r="O22" i="1"/>
  <c r="O41" i="1"/>
  <c r="O40" i="1"/>
  <c r="O25" i="1"/>
  <c r="O38" i="1"/>
  <c r="O46" i="1"/>
  <c r="O43" i="1"/>
  <c r="O27" i="1"/>
  <c r="O31" i="1"/>
  <c r="O29" i="1"/>
  <c r="O26" i="1"/>
  <c r="O30" i="1"/>
  <c r="O42" i="1"/>
  <c r="O39" i="1"/>
  <c r="O48" i="1"/>
  <c r="O37" i="1"/>
  <c r="O35" i="1"/>
  <c r="O45" i="1"/>
  <c r="O34" i="1"/>
  <c r="O24" i="1"/>
  <c r="O50" i="1"/>
  <c r="O44" i="1"/>
  <c r="O3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<sst xmlns="http://schemas.openxmlformats.org/spreadsheetml/2006/main" count="323" uniqueCount="157">
  <si>
    <t>VSB-066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</si>
  <si>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</si>
  <si>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</si>
  <si>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</si>
  <si>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</si>
  <si>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</si>
  <si>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</si>
  <si>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</si>
  <si>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</si>
  <si>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</si>
  <si>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</si>
  <si>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</si>
  <si>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</si>
  <si>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</si>
  <si>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</si>
  <si>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</si>
  <si>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</si>
  <si>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</si>
  <si>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</si>
  <si>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</si>
  <si>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</si>
  <si>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</si>
  <si>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</si>
  <si>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</si>
  <si>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</si>
  <si>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</si>
  <si>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</si>
  <si>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</si>
  <si>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</si>
  <si>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</si>
  <si>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</si>
  <si>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</si>
  <si>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</si>
  <si>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</si>
  <si>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</si>
  <si>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</si>
  <si>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</si>
  <si>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KW Pup / GSC 5981-1097               </t>
  </si>
  <si>
    <t xml:space="preserve">EB/DM     </t>
  </si>
  <si>
    <t>IBVS 5690</t>
  </si>
  <si>
    <t>II</t>
  </si>
  <si>
    <t>IBVS 5871</t>
  </si>
  <si>
    <t>Add cycle</t>
  </si>
  <si>
    <t>Old Cycle</t>
  </si>
  <si>
    <t>OEJV 0137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</si>
  <si>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</si>
  <si>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</si>
  <si>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</si>
  <si>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</si>
  <si>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</si>
  <si>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</si>
  <si>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</si>
  <si>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</si>
  <si>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</si>
  <si>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</si>
  <si>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</si>
  <si>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</si>
  <si>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2425590.585 </t>
  </si>
  <si>
    <t> 10.12.1928 02:02 </t>
  </si>
  <si>
    <t> -0.028 </t>
  </si>
  <si>
    <t>P </t>
  </si>
  <si>
    <t> H.Gessner </t>
  </si>
  <si>
    <t> VSS 7.131 </t>
  </si>
  <si>
    <t>2425623.534 </t>
  </si>
  <si>
    <t> 12.01.1929 00:48 </t>
  </si>
  <si>
    <t> 0.041 </t>
  </si>
  <si>
    <t>2426352.446 </t>
  </si>
  <si>
    <t> 10.01.1931 22:42 </t>
  </si>
  <si>
    <t> -0.022 </t>
  </si>
  <si>
    <t>2427842.451 </t>
  </si>
  <si>
    <t> 08.02.1935 22:49 </t>
  </si>
  <si>
    <t> -0.046 </t>
  </si>
  <si>
    <t>2428547.448 </t>
  </si>
  <si>
    <t> 13.01.1937 22:45 </t>
  </si>
  <si>
    <t> 0.034 </t>
  </si>
  <si>
    <t>2429578.676 </t>
  </si>
  <si>
    <t> 11.11.1939 04:13 </t>
  </si>
  <si>
    <t> -0.049 </t>
  </si>
  <si>
    <t>2429619.629 </t>
  </si>
  <si>
    <t> 22.12.1939 03:05 </t>
  </si>
  <si>
    <t> 0.004 </t>
  </si>
  <si>
    <t>2429697.416 </t>
  </si>
  <si>
    <t> 08.03.1940 21:59 </t>
  </si>
  <si>
    <t> 0.002 </t>
  </si>
  <si>
    <t>2429943.689 </t>
  </si>
  <si>
    <t> 10.11.1940 04:32 </t>
  </si>
  <si>
    <t> 0.075 </t>
  </si>
  <si>
    <t>2430025.383 </t>
  </si>
  <si>
    <t> 30.01.1941 21:11 </t>
  </si>
  <si>
    <t> -0.030 </t>
  </si>
  <si>
    <t>2430369.405 </t>
  </si>
  <si>
    <t> 09.01.1942 21:43 </t>
  </si>
  <si>
    <t>2430377.435 </t>
  </si>
  <si>
    <t> 17.01.1942 22:26 </t>
  </si>
  <si>
    <t> -0.035 </t>
  </si>
  <si>
    <t>2430381.525 </t>
  </si>
  <si>
    <t> 22.01.1942 00:36 </t>
  </si>
  <si>
    <t> 0.045 </t>
  </si>
  <si>
    <t>2431503.422 </t>
  </si>
  <si>
    <t> 16.02.1945 22:07 </t>
  </si>
  <si>
    <t> 0.010 </t>
  </si>
  <si>
    <t>2433690.351 </t>
  </si>
  <si>
    <t> 12.02.1951 20:25 </t>
  </si>
  <si>
    <t> 0.013 </t>
  </si>
  <si>
    <t>2436630.322 </t>
  </si>
  <si>
    <t> 02.03.1959 19:43 </t>
  </si>
  <si>
    <t> 0.024 </t>
  </si>
  <si>
    <t>2436982.415 </t>
  </si>
  <si>
    <t> 17.02.1960 21:57 </t>
  </si>
  <si>
    <t> 0.060 </t>
  </si>
  <si>
    <t>2437317.589 </t>
  </si>
  <si>
    <t> 18.01.1961 02:08 </t>
  </si>
  <si>
    <t> 0.017 </t>
  </si>
  <si>
    <t>2437351.279 </t>
  </si>
  <si>
    <t> 20.02.1961 18:41 </t>
  </si>
  <si>
    <t> 0.025 </t>
  </si>
  <si>
    <t>2437367.29 </t>
  </si>
  <si>
    <t> 08.03.1961 18:57 </t>
  </si>
  <si>
    <t> -0.00 </t>
  </si>
  <si>
    <t>2453437.6524 </t>
  </si>
  <si>
    <t> 08.03.2005 03:39 </t>
  </si>
  <si>
    <t> 0.0234 </t>
  </si>
  <si>
    <t>E </t>
  </si>
  <si>
    <t>?</t>
  </si>
  <si>
    <t> T. Krajci </t>
  </si>
  <si>
    <t>IBVS 5690 </t>
  </si>
  <si>
    <t>2454561.9924 </t>
  </si>
  <si>
    <t> 05.04.2008 11:49 </t>
  </si>
  <si>
    <t> 0.0253 </t>
  </si>
  <si>
    <t>C </t>
  </si>
  <si>
    <t> H.Itoh </t>
  </si>
  <si>
    <t>VSB 48 </t>
  </si>
  <si>
    <t>2454821.8279 </t>
  </si>
  <si>
    <t> 21.12.2008 07:52 </t>
  </si>
  <si>
    <t> 0.0280 </t>
  </si>
  <si>
    <t> R.Diethelm </t>
  </si>
  <si>
    <t>IBVS 5871 </t>
  </si>
  <si>
    <t>2455265.3078 </t>
  </si>
  <si>
    <t> 09.03.2010 19:23 </t>
  </si>
  <si>
    <t> 0.0279 </t>
  </si>
  <si>
    <t>R</t>
  </si>
  <si>
    <t> M.Lehky </t>
  </si>
  <si>
    <t>OEJV 0137 </t>
  </si>
  <si>
    <t>2455601.3277 </t>
  </si>
  <si>
    <t> 08.02.2011 19:51 </t>
  </si>
  <si>
    <t> 0.0295 </t>
  </si>
  <si>
    <t> J.Trnka </t>
  </si>
  <si>
    <t>2455601.3288 </t>
  </si>
  <si>
    <t> 08.02.2011 19:53 </t>
  </si>
  <si>
    <t> 0.0306 </t>
  </si>
  <si>
    <t>2455601.3289 </t>
  </si>
  <si>
    <t> 0.0307 </t>
  </si>
  <si>
    <t>2455984.6595 </t>
  </si>
  <si>
    <t> 27.02.2012 03:49 </t>
  </si>
  <si>
    <t> 0.0278 </t>
  </si>
  <si>
    <t>IBVS 6029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</si>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</sst>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42" applyFont="1" applyAlignment="1">
      <alignment horizontal="left"/>
    </xf>
    <xf numFmtId="0" fontId="16" fillId="0" borderId="0" xfId="42" applyFont="1" applyAlignment="1">
      <alignment horizontal="center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65" fontId="36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Pup - O-C Diagr.</a:t>
            </a:r>
          </a:p>
        </c:rich>
      </c:tx>
      <c:layout>
        <c:manualLayout>
          <c:xMode val="edge"/>
          <c:yMode val="edge"/>
          <c:x val="0.381954954745701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Active!$D$21:$D$218</c:f>
                <c:numCache>
                  <c:formatCode>General</c:formatCode>
                  <c:ptCount val="19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Active!$D$21:$D$218</c:f>
                <c:numCache>
                  <c:formatCode>General</c:formatCode>
                  <c:ptCount val="19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Active!$H$21:$H$978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A0-430E-8C5F-862F408FBF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Active!$I$21:$I$978</c:f>
              <c:numCache>
                <c:formatCode>General</c:formatCode>
                <c:ptCount val="958"/>
                <c:pt idx="0">
                  <c:v>-1.2398200000461657E-2</c:v>
                </c:pt>
                <c:pt idx="1">
                  <c:v>5.6485749999410473E-2</c:v>
                </c:pt>
                <c:pt idx="2">
                  <c:v>-7.7457000006688759E-3</c:v>
                </c:pt>
                <c:pt idx="3">
                  <c:v>-3.3370599998306716E-2</c:v>
                </c:pt>
                <c:pt idx="4">
                  <c:v>4.6019450001040241E-2</c:v>
                </c:pt>
                <c:pt idx="5">
                  <c:v>-3.8888849998329533E-2</c:v>
                </c:pt>
                <c:pt idx="6">
                  <c:v>1.4454600001045037E-2</c:v>
                </c:pt>
                <c:pt idx="7">
                  <c:v>-0.24366269999882206</c:v>
                </c:pt>
                <c:pt idx="8">
                  <c:v>1.1911749999853782E-2</c:v>
                </c:pt>
                <c:pt idx="9">
                  <c:v>8.501839999735239E-2</c:v>
                </c:pt>
                <c:pt idx="10">
                  <c:v>-2.0294699996156851E-2</c:v>
                </c:pt>
                <c:pt idx="11">
                  <c:v>-3.6582150001777336E-2</c:v>
                </c:pt>
                <c:pt idx="12">
                  <c:v>-2.6122649996977998E-2</c:v>
                </c:pt>
                <c:pt idx="13">
                  <c:v>5.4107100000692299E-2</c:v>
                </c:pt>
                <c:pt idx="14">
                  <c:v>1.7391149998729816E-2</c:v>
                </c:pt>
                <c:pt idx="15">
                  <c:v>1.7696800001431257E-2</c:v>
                </c:pt>
                <c:pt idx="16">
                  <c:v>2.5149499997496605E-2</c:v>
                </c:pt>
                <c:pt idx="17">
                  <c:v>6.0321550001390278E-2</c:v>
                </c:pt>
                <c:pt idx="18">
                  <c:v>1.7528650001622736E-2</c:v>
                </c:pt>
                <c:pt idx="19">
                  <c:v>2.5458550000621472E-2</c:v>
                </c:pt>
                <c:pt idx="20">
                  <c:v>-2.6224499961244874E-3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A0-430E-8C5F-862F408FBF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Active!$J$21:$J$978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A0-430E-8C5F-862F408FBF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Active!$K$21:$K$978</c:f>
              <c:numCache>
                <c:formatCode>General</c:formatCode>
                <c:ptCount val="958"/>
                <c:pt idx="21">
                  <c:v>2.5696000011521392E-3</c:v>
                </c:pt>
                <c:pt idx="22">
                  <c:v>2.9915000050095841E-3</c:v>
                </c:pt>
                <c:pt idx="23">
                  <c:v>5.3792999970028177E-3</c:v>
                </c:pt>
                <c:pt idx="24">
                  <c:v>4.69965000229422E-3</c:v>
                </c:pt>
                <c:pt idx="25">
                  <c:v>5.8926999990944751E-3</c:v>
                </c:pt>
                <c:pt idx="26">
                  <c:v>6.9927000004099682E-3</c:v>
                </c:pt>
                <c:pt idx="27">
                  <c:v>7.0927000051597133E-3</c:v>
                </c:pt>
                <c:pt idx="28">
                  <c:v>3.6068000044906512E-3</c:v>
                </c:pt>
                <c:pt idx="29">
                  <c:v>1.1431299863033928E-2</c:v>
                </c:pt>
                <c:pt idx="30">
                  <c:v>1.2872550112660974E-2</c:v>
                </c:pt>
                <c:pt idx="31">
                  <c:v>1.4072549936827272E-2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A0-430E-8C5F-862F408FBF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A0-430E-8C5F-862F408FBF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A0-430E-8C5F-862F408FBF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Active!$N$21:$N$978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A0-430E-8C5F-862F408FBF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Active!$O$21:$O$978</c:f>
              <c:numCache>
                <c:formatCode>General</c:formatCode>
                <c:ptCount val="958"/>
                <c:pt idx="0">
                  <c:v>-4.7704873065332422E-2</c:v>
                </c:pt>
                <c:pt idx="1">
                  <c:v>-4.7646162470276976E-2</c:v>
                </c:pt>
                <c:pt idx="2">
                  <c:v>-4.6344505618925787E-2</c:v>
                </c:pt>
                <c:pt idx="3">
                  <c:v>-4.3683913286901029E-2</c:v>
                </c:pt>
                <c:pt idx="4">
                  <c:v>-4.2425215407541635E-2</c:v>
                </c:pt>
                <c:pt idx="5">
                  <c:v>-4.0583707474826973E-2</c:v>
                </c:pt>
                <c:pt idx="6">
                  <c:v>-4.0510677222440936E-2</c:v>
                </c:pt>
                <c:pt idx="7">
                  <c:v>-9.3398899607264621E-2</c:v>
                </c:pt>
                <c:pt idx="8">
                  <c:v>-4.037177654633415E-2</c:v>
                </c:pt>
                <c:pt idx="9">
                  <c:v>-3.9932163066284852E-2</c:v>
                </c:pt>
                <c:pt idx="10">
                  <c:v>-3.9786102561512771E-2</c:v>
                </c:pt>
                <c:pt idx="11">
                  <c:v>-3.9171789262030195E-2</c:v>
                </c:pt>
                <c:pt idx="12">
                  <c:v>-3.9157469604699603E-2</c:v>
                </c:pt>
                <c:pt idx="13">
                  <c:v>-3.9150309776034301E-2</c:v>
                </c:pt>
                <c:pt idx="14">
                  <c:v>-3.7146989715483907E-2</c:v>
                </c:pt>
                <c:pt idx="15">
                  <c:v>-3.3242019161430346E-2</c:v>
                </c:pt>
                <c:pt idx="16">
                  <c:v>-2.7992432784033811E-2</c:v>
                </c:pt>
                <c:pt idx="17">
                  <c:v>-2.7363799827220644E-2</c:v>
                </c:pt>
                <c:pt idx="18">
                  <c:v>-2.6765238150801725E-2</c:v>
                </c:pt>
                <c:pt idx="19">
                  <c:v>-2.670509559001322E-2</c:v>
                </c:pt>
                <c:pt idx="20">
                  <c:v>-2.6676456275352031E-2</c:v>
                </c:pt>
                <c:pt idx="21">
                  <c:v>2.0187050494295169E-3</c:v>
                </c:pt>
                <c:pt idx="22">
                  <c:v>4.0263210071790918E-3</c:v>
                </c:pt>
                <c:pt idx="23">
                  <c:v>4.4902779046904059E-3</c:v>
                </c:pt>
                <c:pt idx="24">
                  <c:v>5.2821549550723709E-3</c:v>
                </c:pt>
                <c:pt idx="25">
                  <c:v>5.8821485972243475E-3</c:v>
                </c:pt>
                <c:pt idx="26">
                  <c:v>5.8821485972243475E-3</c:v>
                </c:pt>
                <c:pt idx="27">
                  <c:v>5.8821485972243475E-3</c:v>
                </c:pt>
                <c:pt idx="28">
                  <c:v>6.5666282176268416E-3</c:v>
                </c:pt>
                <c:pt idx="29">
                  <c:v>1.0447255354218386E-2</c:v>
                </c:pt>
                <c:pt idx="30">
                  <c:v>1.3561780823623044E-2</c:v>
                </c:pt>
                <c:pt idx="31">
                  <c:v>1.3561780823623044E-2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A0-430E-8C5F-862F408F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5288"/>
        <c:axId val="1"/>
      </c:scatterChart>
      <c:valAx>
        <c:axId val="717695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442586269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106721173129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5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10672117311"/>
          <c:y val="0.92397937099967764"/>
          <c:w val="0.6285714506925572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0</xdr:rowOff>
    </xdr:from>
    <xdr:to>
      <xdr:col>17</xdr:col>
      <xdr:colOff>619124</xdr:colOff>
      <xdr:row>19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F1FFCC7-F93A-0EF2-5370-6AF8951A8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871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19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7109375" customWidth="1"/>
  </cols>
  <sheetData>
    <row r="1" spans="1:8" ht="20.25" x14ac:dyDescent="0.3">
      <c r="A1" s="1" t="s">
        <v>37</v>
      </c>
      <c r="F1" s="3">
        <v>52500.967499999999</v>
      </c>
      <c r="G1" s="3">
        <v>1.6039080999999999</v>
      </c>
      <c r="H1" s="3" t="s">
        <v>38</v>
      </c>
    </row>
    <row r="2" spans="1:8" s="35" customFormat="1" ht="12.95" customHeight="1" x14ac:dyDescent="0.2">
      <c r="A2" s="35" t="s">
        <v>23</v>
      </c>
      <c r="B2" s="35" t="str">
        <f>H1</f>
        <v xml:space="preserve">EB/DM     </v>
      </c>
      <c r="C2" s="36"/>
      <c r="D2" s="36"/>
    </row>
    <row r="3" spans="1:8" s="35" customFormat="1" ht="12.95" customHeight="1" thickBot="1" x14ac:dyDescent="0.25"/>
    <row r="4" spans="1:8" s="35" customFormat="1" ht="12.95" customHeight="1" thickTop="1" thickBot="1" x14ac:dyDescent="0.25">
      <c r="A4" s="37" t="s">
        <v>36</v>
      </c>
      <c r="C4" s="38">
        <f>F1</f>
        <v>52500.967499999999</v>
      </c>
      <c r="D4" s="39">
        <f>G1</f>
        <v>1.6039080999999999</v>
      </c>
    </row>
    <row r="5" spans="1:8" s="35" customFormat="1" ht="12.95" customHeight="1" thickTop="1" x14ac:dyDescent="0.2">
      <c r="A5" s="40" t="s">
        <v>28</v>
      </c>
      <c r="C5" s="41">
        <v>-9.5</v>
      </c>
      <c r="D5" s="35" t="s">
        <v>29</v>
      </c>
    </row>
    <row r="6" spans="1:8" s="35" customFormat="1" ht="12.95" customHeight="1" x14ac:dyDescent="0.2">
      <c r="A6" s="37" t="s">
        <v>1</v>
      </c>
    </row>
    <row r="7" spans="1:8" s="35" customFormat="1" ht="12.95" customHeight="1" x14ac:dyDescent="0.2">
      <c r="A7" s="35" t="s">
        <v>2</v>
      </c>
      <c r="C7" s="35">
        <f>C4</f>
        <v>52500.967499999999</v>
      </c>
    </row>
    <row r="8" spans="1:8" s="35" customFormat="1" ht="12.95" customHeight="1" x14ac:dyDescent="0.2">
      <c r="A8" s="35" t="s">
        <v>3</v>
      </c>
      <c r="C8" s="35">
        <f>D4</f>
        <v>1.6039080999999999</v>
      </c>
      <c r="D8" s="41"/>
    </row>
    <row r="9" spans="1:8" s="35" customFormat="1" ht="12.95" customHeight="1" x14ac:dyDescent="0.2">
      <c r="A9" s="42" t="s">
        <v>33</v>
      </c>
      <c r="B9" s="43">
        <v>42</v>
      </c>
      <c r="C9" s="44" t="str">
        <f>"F"&amp;B9</f>
        <v>F42</v>
      </c>
      <c r="D9" s="45" t="str">
        <f>"G"&amp;B9</f>
        <v>G42</v>
      </c>
    </row>
    <row r="10" spans="1:8" s="35" customFormat="1" ht="12.95" customHeight="1" thickBot="1" x14ac:dyDescent="0.25">
      <c r="C10" s="46" t="s">
        <v>19</v>
      </c>
      <c r="D10" s="46" t="s">
        <v>20</v>
      </c>
    </row>
    <row r="11" spans="1:8" s="35" customFormat="1" ht="12.95" customHeight="1" x14ac:dyDescent="0.2">
      <c r="A11" s="35" t="s">
        <v>15</v>
      </c>
      <c r="C11" s="45">
        <f ca="1">INTERCEPT(INDIRECT($D$9):G988,INDIRECT($C$9):F988)</f>
        <v>3.4616907321589115E-4</v>
      </c>
      <c r="D11" s="36"/>
    </row>
    <row r="12" spans="1:8" s="35" customFormat="1" ht="12.95" customHeight="1" x14ac:dyDescent="0.2">
      <c r="A12" s="35" t="s">
        <v>16</v>
      </c>
      <c r="C12" s="45">
        <f ca="1">SLOPE(INDIRECT($D$9):G988,INDIRECT($C$9):F988)</f>
        <v>2.8639314661192222E-6</v>
      </c>
      <c r="D12" s="36"/>
    </row>
    <row r="13" spans="1:8" s="35" customFormat="1" ht="12.95" customHeight="1" x14ac:dyDescent="0.2">
      <c r="A13" s="35" t="s">
        <v>18</v>
      </c>
      <c r="C13" s="36" t="s">
        <v>13</v>
      </c>
    </row>
    <row r="14" spans="1:8" s="35" customFormat="1" ht="12.95" customHeight="1" x14ac:dyDescent="0.2"/>
    <row r="15" spans="1:8" s="35" customFormat="1" ht="12.95" customHeight="1" x14ac:dyDescent="0.2">
      <c r="A15" s="47" t="s">
        <v>17</v>
      </c>
      <c r="C15" s="48">
        <f ca="1">(C7+C11)+(C8+C12)*INT(MAX(F21:F3529))</f>
        <v>59901.413033748853</v>
      </c>
      <c r="E15" s="49" t="s">
        <v>42</v>
      </c>
      <c r="F15" s="41">
        <v>1</v>
      </c>
    </row>
    <row r="16" spans="1:8" s="35" customFormat="1" ht="12.95" customHeight="1" x14ac:dyDescent="0.2">
      <c r="A16" s="37" t="s">
        <v>4</v>
      </c>
      <c r="C16" s="50">
        <f ca="1">+C8+C12</f>
        <v>1.6039109639314661</v>
      </c>
      <c r="E16" s="49" t="s">
        <v>30</v>
      </c>
      <c r="F16" s="51">
        <f ca="1">NOW()+15018.5+$C$5/24</f>
        <v>60373.785307407408</v>
      </c>
    </row>
    <row r="17" spans="1:17" s="35" customFormat="1" ht="12.95" customHeight="1" thickBot="1" x14ac:dyDescent="0.25">
      <c r="A17" s="49" t="s">
        <v>27</v>
      </c>
      <c r="C17" s="35">
        <f>COUNT(C21:C2187)</f>
        <v>32</v>
      </c>
      <c r="E17" s="49" t="s">
        <v>43</v>
      </c>
      <c r="F17" s="51">
        <f ca="1">ROUND(2*(F16-$C$7)/$C$8,0)/2+F15</f>
        <v>4909.5</v>
      </c>
    </row>
    <row r="18" spans="1:17" s="35" customFormat="1" ht="12.95" customHeight="1" thickTop="1" thickBot="1" x14ac:dyDescent="0.25">
      <c r="A18" s="37" t="s">
        <v>5</v>
      </c>
      <c r="C18" s="52">
        <f ca="1">+C15</f>
        <v>59901.413033748853</v>
      </c>
      <c r="D18" s="53">
        <f ca="1">+C16</f>
        <v>1.6039109639314661</v>
      </c>
      <c r="E18" s="49" t="s">
        <v>31</v>
      </c>
      <c r="F18" s="45">
        <f ca="1">ROUND(2*(F16-$C$15)/$C$16,0)/2+F15</f>
        <v>295.5</v>
      </c>
    </row>
    <row r="19" spans="1:17" s="35" customFormat="1" ht="12.95" customHeight="1" thickTop="1" x14ac:dyDescent="0.2">
      <c r="E19" s="49" t="s">
        <v>32</v>
      </c>
      <c r="F19" s="54">
        <f ca="1">+$C$15+$C$16*F18-15018.5-$C$5/24</f>
        <v>45357.264556923939</v>
      </c>
    </row>
    <row r="20" spans="1:17" s="35" customFormat="1" ht="12.95" customHeight="1" thickBot="1" x14ac:dyDescent="0.25">
      <c r="A20" s="46" t="s">
        <v>6</v>
      </c>
      <c r="B20" s="46" t="s">
        <v>7</v>
      </c>
      <c r="C20" s="46" t="s">
        <v>8</v>
      </c>
      <c r="D20" s="46" t="s">
        <v>12</v>
      </c>
      <c r="E20" s="46" t="s">
        <v>9</v>
      </c>
      <c r="F20" s="46" t="s">
        <v>10</v>
      </c>
      <c r="G20" s="46" t="s">
        <v>11</v>
      </c>
      <c r="H20" s="55" t="s">
        <v>53</v>
      </c>
      <c r="I20" s="55" t="s">
        <v>56</v>
      </c>
      <c r="J20" s="55" t="s">
        <v>50</v>
      </c>
      <c r="K20" s="55" t="s">
        <v>48</v>
      </c>
      <c r="L20" s="55" t="s">
        <v>24</v>
      </c>
      <c r="M20" s="55" t="s">
        <v>25</v>
      </c>
      <c r="N20" s="55" t="s">
        <v>26</v>
      </c>
      <c r="O20" s="55" t="s">
        <v>22</v>
      </c>
      <c r="P20" s="56" t="s">
        <v>21</v>
      </c>
      <c r="Q20" s="46" t="s">
        <v>14</v>
      </c>
    </row>
    <row r="21" spans="1:17" s="35" customFormat="1" ht="12.95" customHeight="1" x14ac:dyDescent="0.2">
      <c r="A21" s="57" t="s">
        <v>62</v>
      </c>
      <c r="B21" s="58" t="s">
        <v>34</v>
      </c>
      <c r="C21" s="59">
        <v>25590.584999999999</v>
      </c>
      <c r="D21" s="60"/>
      <c r="E21" s="35">
        <f t="shared" ref="E21:E50" si="0">+(C21-C$7)/C$8</f>
        <v>-16778.007729994006</v>
      </c>
      <c r="F21" s="35">
        <f t="shared" ref="F21:F50" si="1">ROUND(2*E21,0)/2</f>
        <v>-16778</v>
      </c>
      <c r="G21" s="35">
        <f t="shared" ref="G21:G50" si="2">+C21-(C$7+F21*C$8)</f>
        <v>-1.2398200000461657E-2</v>
      </c>
      <c r="I21" s="35">
        <f t="shared" ref="I21:I41" si="3">+G21</f>
        <v>-1.2398200000461657E-2</v>
      </c>
      <c r="O21" s="35">
        <f t="shared" ref="O21:O50" ca="1" si="4">+C$11+C$12*$F21</f>
        <v>-4.7704873065332422E-2</v>
      </c>
      <c r="Q21" s="61">
        <f t="shared" ref="Q21:Q50" si="5">+C21-15018.5</f>
        <v>10572.084999999999</v>
      </c>
    </row>
    <row r="22" spans="1:17" s="35" customFormat="1" ht="12.95" customHeight="1" x14ac:dyDescent="0.2">
      <c r="A22" s="57" t="s">
        <v>62</v>
      </c>
      <c r="B22" s="58" t="s">
        <v>40</v>
      </c>
      <c r="C22" s="59">
        <v>25623.534</v>
      </c>
      <c r="D22" s="60"/>
      <c r="E22" s="35">
        <f t="shared" si="0"/>
        <v>-16757.464782427371</v>
      </c>
      <c r="F22" s="35">
        <f t="shared" si="1"/>
        <v>-16757.5</v>
      </c>
      <c r="G22" s="35">
        <f t="shared" si="2"/>
        <v>5.6485749999410473E-2</v>
      </c>
      <c r="I22" s="35">
        <f t="shared" si="3"/>
        <v>5.6485749999410473E-2</v>
      </c>
      <c r="O22" s="35">
        <f t="shared" ca="1" si="4"/>
        <v>-4.7646162470276976E-2</v>
      </c>
      <c r="Q22" s="61">
        <f t="shared" si="5"/>
        <v>10605.034</v>
      </c>
    </row>
    <row r="23" spans="1:17" s="35" customFormat="1" ht="12.95" customHeight="1" x14ac:dyDescent="0.2">
      <c r="A23" s="57" t="s">
        <v>62</v>
      </c>
      <c r="B23" s="58" t="s">
        <v>34</v>
      </c>
      <c r="C23" s="59">
        <v>26352.446</v>
      </c>
      <c r="D23" s="60"/>
      <c r="E23" s="35">
        <f t="shared" si="0"/>
        <v>-16303.004829266714</v>
      </c>
      <c r="F23" s="35">
        <f t="shared" si="1"/>
        <v>-16303</v>
      </c>
      <c r="G23" s="35">
        <f t="shared" si="2"/>
        <v>-7.7457000006688759E-3</v>
      </c>
      <c r="I23" s="35">
        <f t="shared" si="3"/>
        <v>-7.7457000006688759E-3</v>
      </c>
      <c r="O23" s="35">
        <f t="shared" ca="1" si="4"/>
        <v>-4.6344505618925787E-2</v>
      </c>
      <c r="Q23" s="61">
        <f t="shared" si="5"/>
        <v>11333.946</v>
      </c>
    </row>
    <row r="24" spans="1:17" s="35" customFormat="1" ht="12.95" customHeight="1" x14ac:dyDescent="0.2">
      <c r="A24" s="57" t="s">
        <v>62</v>
      </c>
      <c r="B24" s="58" t="s">
        <v>34</v>
      </c>
      <c r="C24" s="59">
        <v>27842.451000000001</v>
      </c>
      <c r="D24" s="60"/>
      <c r="E24" s="35">
        <f t="shared" si="0"/>
        <v>-15374.02080580552</v>
      </c>
      <c r="F24" s="35">
        <f t="shared" si="1"/>
        <v>-15374</v>
      </c>
      <c r="G24" s="35">
        <f t="shared" si="2"/>
        <v>-3.3370599998306716E-2</v>
      </c>
      <c r="I24" s="35">
        <f t="shared" si="3"/>
        <v>-3.3370599998306716E-2</v>
      </c>
      <c r="O24" s="35">
        <f t="shared" ca="1" si="4"/>
        <v>-4.3683913286901029E-2</v>
      </c>
      <c r="Q24" s="61">
        <f t="shared" si="5"/>
        <v>12823.951000000001</v>
      </c>
    </row>
    <row r="25" spans="1:17" s="35" customFormat="1" ht="12.95" customHeight="1" x14ac:dyDescent="0.2">
      <c r="A25" s="57" t="s">
        <v>62</v>
      </c>
      <c r="B25" s="58" t="s">
        <v>40</v>
      </c>
      <c r="C25" s="59">
        <v>28547.448</v>
      </c>
      <c r="D25" s="60"/>
      <c r="E25" s="35">
        <f t="shared" si="0"/>
        <v>-14934.471307925935</v>
      </c>
      <c r="F25" s="35">
        <f t="shared" si="1"/>
        <v>-14934.5</v>
      </c>
      <c r="G25" s="35">
        <f t="shared" si="2"/>
        <v>4.6019450001040241E-2</v>
      </c>
      <c r="I25" s="35">
        <f t="shared" si="3"/>
        <v>4.6019450001040241E-2</v>
      </c>
      <c r="O25" s="35">
        <f t="shared" ca="1" si="4"/>
        <v>-4.2425215407541635E-2</v>
      </c>
      <c r="Q25" s="61">
        <f t="shared" si="5"/>
        <v>13528.948</v>
      </c>
    </row>
    <row r="26" spans="1:17" s="35" customFormat="1" ht="12.95" customHeight="1" x14ac:dyDescent="0.2">
      <c r="A26" s="57" t="s">
        <v>62</v>
      </c>
      <c r="B26" s="58" t="s">
        <v>40</v>
      </c>
      <c r="C26" s="59">
        <v>29578.675999999999</v>
      </c>
      <c r="D26" s="60"/>
      <c r="E26" s="35">
        <f t="shared" si="0"/>
        <v>-14291.524246308127</v>
      </c>
      <c r="F26" s="35">
        <f t="shared" si="1"/>
        <v>-14291.5</v>
      </c>
      <c r="G26" s="35">
        <f t="shared" si="2"/>
        <v>-3.8888849998329533E-2</v>
      </c>
      <c r="I26" s="35">
        <f t="shared" si="3"/>
        <v>-3.8888849998329533E-2</v>
      </c>
      <c r="O26" s="35">
        <f t="shared" ca="1" si="4"/>
        <v>-4.0583707474826973E-2</v>
      </c>
      <c r="Q26" s="61">
        <f t="shared" si="5"/>
        <v>14560.175999999999</v>
      </c>
    </row>
    <row r="27" spans="1:17" s="35" customFormat="1" ht="12.95" customHeight="1" x14ac:dyDescent="0.2">
      <c r="A27" s="57" t="s">
        <v>62</v>
      </c>
      <c r="B27" s="58" t="s">
        <v>34</v>
      </c>
      <c r="C27" s="59">
        <v>29619.629000000001</v>
      </c>
      <c r="D27" s="60"/>
      <c r="E27" s="35">
        <f t="shared" si="0"/>
        <v>-14265.990987887646</v>
      </c>
      <c r="F27" s="35">
        <f t="shared" si="1"/>
        <v>-14266</v>
      </c>
      <c r="G27" s="35">
        <f t="shared" si="2"/>
        <v>1.4454600001045037E-2</v>
      </c>
      <c r="I27" s="35">
        <f t="shared" si="3"/>
        <v>1.4454600001045037E-2</v>
      </c>
      <c r="O27" s="35">
        <f t="shared" ca="1" si="4"/>
        <v>-4.0510677222440936E-2</v>
      </c>
      <c r="Q27" s="61">
        <f t="shared" si="5"/>
        <v>14601.129000000001</v>
      </c>
    </row>
    <row r="28" spans="1:17" s="35" customFormat="1" ht="12.95" customHeight="1" x14ac:dyDescent="0.2">
      <c r="A28" s="9" t="s">
        <v>35</v>
      </c>
      <c r="B28" s="62" t="s">
        <v>34</v>
      </c>
      <c r="C28" s="9">
        <f>C14</f>
        <v>0</v>
      </c>
      <c r="D28" s="63"/>
      <c r="E28" s="35">
        <f t="shared" si="0"/>
        <v>-32733.151918118001</v>
      </c>
      <c r="F28" s="35">
        <f t="shared" si="1"/>
        <v>-32733</v>
      </c>
      <c r="G28" s="35">
        <f t="shared" si="2"/>
        <v>-0.24366269999882206</v>
      </c>
      <c r="I28" s="35">
        <f t="shared" si="3"/>
        <v>-0.24366269999882206</v>
      </c>
      <c r="O28" s="35">
        <f t="shared" ca="1" si="4"/>
        <v>-9.3398899607264621E-2</v>
      </c>
      <c r="Q28" s="61">
        <f t="shared" si="5"/>
        <v>-15018.5</v>
      </c>
    </row>
    <row r="29" spans="1:17" s="35" customFormat="1" ht="12.95" customHeight="1" x14ac:dyDescent="0.2">
      <c r="A29" s="57" t="s">
        <v>62</v>
      </c>
      <c r="B29" s="58" t="s">
        <v>40</v>
      </c>
      <c r="C29" s="59">
        <v>29697.416000000001</v>
      </c>
      <c r="D29" s="60"/>
      <c r="E29" s="35">
        <f t="shared" si="0"/>
        <v>-14217.492573296437</v>
      </c>
      <c r="F29" s="35">
        <f t="shared" si="1"/>
        <v>-14217.5</v>
      </c>
      <c r="G29" s="35">
        <f t="shared" si="2"/>
        <v>1.1911749999853782E-2</v>
      </c>
      <c r="I29" s="35">
        <f t="shared" si="3"/>
        <v>1.1911749999853782E-2</v>
      </c>
      <c r="O29" s="35">
        <f t="shared" ca="1" si="4"/>
        <v>-4.037177654633415E-2</v>
      </c>
      <c r="Q29" s="61">
        <f t="shared" si="5"/>
        <v>14678.916000000001</v>
      </c>
    </row>
    <row r="30" spans="1:17" s="35" customFormat="1" ht="12.95" customHeight="1" x14ac:dyDescent="0.2">
      <c r="A30" s="57" t="s">
        <v>62</v>
      </c>
      <c r="B30" s="58" t="s">
        <v>34</v>
      </c>
      <c r="C30" s="59">
        <v>29943.688999999998</v>
      </c>
      <c r="D30" s="60"/>
      <c r="E30" s="35">
        <f t="shared" si="0"/>
        <v>-14063.946992972977</v>
      </c>
      <c r="F30" s="35">
        <f t="shared" si="1"/>
        <v>-14064</v>
      </c>
      <c r="G30" s="35">
        <f t="shared" si="2"/>
        <v>8.501839999735239E-2</v>
      </c>
      <c r="I30" s="35">
        <f t="shared" si="3"/>
        <v>8.501839999735239E-2</v>
      </c>
      <c r="O30" s="35">
        <f t="shared" ca="1" si="4"/>
        <v>-3.9932163066284852E-2</v>
      </c>
      <c r="Q30" s="61">
        <f t="shared" si="5"/>
        <v>14925.188999999998</v>
      </c>
    </row>
    <row r="31" spans="1:17" s="35" customFormat="1" ht="12.95" customHeight="1" x14ac:dyDescent="0.2">
      <c r="A31" s="57" t="s">
        <v>62</v>
      </c>
      <c r="B31" s="58" t="s">
        <v>34</v>
      </c>
      <c r="C31" s="59">
        <v>30025.383000000002</v>
      </c>
      <c r="D31" s="60"/>
      <c r="E31" s="35">
        <f t="shared" si="0"/>
        <v>-14013.012653281068</v>
      </c>
      <c r="F31" s="35">
        <f t="shared" si="1"/>
        <v>-14013</v>
      </c>
      <c r="G31" s="35">
        <f t="shared" si="2"/>
        <v>-2.0294699996156851E-2</v>
      </c>
      <c r="I31" s="35">
        <f t="shared" si="3"/>
        <v>-2.0294699996156851E-2</v>
      </c>
      <c r="O31" s="35">
        <f t="shared" ca="1" si="4"/>
        <v>-3.9786102561512771E-2</v>
      </c>
      <c r="Q31" s="61">
        <f t="shared" si="5"/>
        <v>15006.883000000002</v>
      </c>
    </row>
    <row r="32" spans="1:17" s="35" customFormat="1" ht="12.95" customHeight="1" x14ac:dyDescent="0.2">
      <c r="A32" s="57" t="s">
        <v>62</v>
      </c>
      <c r="B32" s="58" t="s">
        <v>40</v>
      </c>
      <c r="C32" s="59">
        <v>30369.404999999999</v>
      </c>
      <c r="D32" s="60"/>
      <c r="E32" s="35">
        <f t="shared" si="0"/>
        <v>-13798.522808133459</v>
      </c>
      <c r="F32" s="35">
        <f t="shared" si="1"/>
        <v>-13798.5</v>
      </c>
      <c r="G32" s="35">
        <f t="shared" si="2"/>
        <v>-3.6582150001777336E-2</v>
      </c>
      <c r="I32" s="35">
        <f t="shared" si="3"/>
        <v>-3.6582150001777336E-2</v>
      </c>
      <c r="O32" s="35">
        <f t="shared" ca="1" si="4"/>
        <v>-3.9171789262030195E-2</v>
      </c>
      <c r="Q32" s="61">
        <f t="shared" si="5"/>
        <v>15350.904999999999</v>
      </c>
    </row>
    <row r="33" spans="1:17" x14ac:dyDescent="0.2">
      <c r="A33" s="27" t="s">
        <v>62</v>
      </c>
      <c r="B33" s="29" t="s">
        <v>40</v>
      </c>
      <c r="C33" s="28">
        <v>30377.435000000001</v>
      </c>
      <c r="D33" s="4"/>
      <c r="E33">
        <f t="shared" si="0"/>
        <v>-13793.516286874539</v>
      </c>
      <c r="F33">
        <f t="shared" si="1"/>
        <v>-13793.5</v>
      </c>
      <c r="G33">
        <f t="shared" si="2"/>
        <v>-2.6122649996977998E-2</v>
      </c>
      <c r="I33">
        <f t="shared" si="3"/>
        <v>-2.6122649996977998E-2</v>
      </c>
      <c r="O33">
        <f t="shared" ca="1" si="4"/>
        <v>-3.9157469604699603E-2</v>
      </c>
      <c r="Q33" s="2">
        <f t="shared" si="5"/>
        <v>15358.935000000001</v>
      </c>
    </row>
    <row r="34" spans="1:17" x14ac:dyDescent="0.2">
      <c r="A34" s="27" t="s">
        <v>62</v>
      </c>
      <c r="B34" s="29" t="s">
        <v>34</v>
      </c>
      <c r="C34" s="28">
        <v>30381.525000000001</v>
      </c>
      <c r="D34" s="4"/>
      <c r="E34">
        <f t="shared" si="0"/>
        <v>-13790.966265461218</v>
      </c>
      <c r="F34">
        <f t="shared" si="1"/>
        <v>-13791</v>
      </c>
      <c r="G34">
        <f t="shared" si="2"/>
        <v>5.4107100000692299E-2</v>
      </c>
      <c r="I34">
        <f t="shared" si="3"/>
        <v>5.4107100000692299E-2</v>
      </c>
      <c r="O34">
        <f t="shared" ca="1" si="4"/>
        <v>-3.9150309776034301E-2</v>
      </c>
      <c r="Q34" s="2">
        <f t="shared" si="5"/>
        <v>15363.025000000001</v>
      </c>
    </row>
    <row r="35" spans="1:17" x14ac:dyDescent="0.2">
      <c r="A35" s="27" t="s">
        <v>62</v>
      </c>
      <c r="B35" s="29" t="s">
        <v>40</v>
      </c>
      <c r="C35" s="28">
        <v>31503.421999999999</v>
      </c>
      <c r="D35" s="4"/>
      <c r="E35">
        <f t="shared" si="0"/>
        <v>-13091.489157015916</v>
      </c>
      <c r="F35">
        <f t="shared" si="1"/>
        <v>-13091.5</v>
      </c>
      <c r="G35">
        <f t="shared" si="2"/>
        <v>1.7391149998729816E-2</v>
      </c>
      <c r="I35">
        <f t="shared" si="3"/>
        <v>1.7391149998729816E-2</v>
      </c>
      <c r="O35">
        <f t="shared" ca="1" si="4"/>
        <v>-3.7146989715483907E-2</v>
      </c>
      <c r="Q35" s="2">
        <f t="shared" si="5"/>
        <v>16484.921999999999</v>
      </c>
    </row>
    <row r="36" spans="1:17" x14ac:dyDescent="0.2">
      <c r="A36" s="27" t="s">
        <v>62</v>
      </c>
      <c r="B36" s="29" t="s">
        <v>34</v>
      </c>
      <c r="C36" s="28">
        <v>33690.351000000002</v>
      </c>
      <c r="D36" s="4"/>
      <c r="E36">
        <f t="shared" si="0"/>
        <v>-11727.988966450133</v>
      </c>
      <c r="F36">
        <f t="shared" si="1"/>
        <v>-11728</v>
      </c>
      <c r="G36">
        <f t="shared" si="2"/>
        <v>1.7696800001431257E-2</v>
      </c>
      <c r="I36">
        <f t="shared" si="3"/>
        <v>1.7696800001431257E-2</v>
      </c>
      <c r="O36">
        <f t="shared" ca="1" si="4"/>
        <v>-3.3242019161430346E-2</v>
      </c>
      <c r="Q36" s="2">
        <f t="shared" si="5"/>
        <v>18671.851000000002</v>
      </c>
    </row>
    <row r="37" spans="1:17" x14ac:dyDescent="0.2">
      <c r="A37" s="27" t="s">
        <v>62</v>
      </c>
      <c r="B37" s="29" t="s">
        <v>34</v>
      </c>
      <c r="C37" s="28">
        <v>36630.322</v>
      </c>
      <c r="D37" s="4"/>
      <c r="E37">
        <f t="shared" si="0"/>
        <v>-9894.9843198622166</v>
      </c>
      <c r="F37">
        <f t="shared" si="1"/>
        <v>-9895</v>
      </c>
      <c r="G37">
        <f t="shared" si="2"/>
        <v>2.5149499997496605E-2</v>
      </c>
      <c r="I37">
        <f t="shared" si="3"/>
        <v>2.5149499997496605E-2</v>
      </c>
      <c r="O37">
        <f t="shared" ca="1" si="4"/>
        <v>-2.7992432784033811E-2</v>
      </c>
      <c r="Q37" s="2">
        <f t="shared" si="5"/>
        <v>21611.822</v>
      </c>
    </row>
    <row r="38" spans="1:17" x14ac:dyDescent="0.2">
      <c r="A38" s="27" t="s">
        <v>62</v>
      </c>
      <c r="B38" s="29" t="s">
        <v>40</v>
      </c>
      <c r="C38" s="28">
        <v>36982.415000000001</v>
      </c>
      <c r="D38" s="4"/>
      <c r="E38">
        <f t="shared" si="0"/>
        <v>-9675.4623908938411</v>
      </c>
      <c r="F38">
        <f t="shared" si="1"/>
        <v>-9675.5</v>
      </c>
      <c r="G38">
        <f t="shared" si="2"/>
        <v>6.0321550001390278E-2</v>
      </c>
      <c r="I38">
        <f t="shared" si="3"/>
        <v>6.0321550001390278E-2</v>
      </c>
      <c r="O38">
        <f t="shared" ca="1" si="4"/>
        <v>-2.7363799827220644E-2</v>
      </c>
      <c r="Q38" s="2">
        <f t="shared" si="5"/>
        <v>21963.915000000001</v>
      </c>
    </row>
    <row r="39" spans="1:17" x14ac:dyDescent="0.2">
      <c r="A39" s="27" t="s">
        <v>62</v>
      </c>
      <c r="B39" s="29" t="s">
        <v>40</v>
      </c>
      <c r="C39" s="28">
        <v>37317.589</v>
      </c>
      <c r="D39" s="4"/>
      <c r="E39">
        <f t="shared" si="0"/>
        <v>-9466.4890712878114</v>
      </c>
      <c r="F39">
        <f t="shared" si="1"/>
        <v>-9466.5</v>
      </c>
      <c r="G39">
        <f t="shared" si="2"/>
        <v>1.7528650001622736E-2</v>
      </c>
      <c r="I39">
        <f t="shared" si="3"/>
        <v>1.7528650001622736E-2</v>
      </c>
      <c r="O39">
        <f t="shared" ca="1" si="4"/>
        <v>-2.6765238150801725E-2</v>
      </c>
      <c r="Q39" s="2">
        <f t="shared" si="5"/>
        <v>22299.089</v>
      </c>
    </row>
    <row r="40" spans="1:17" x14ac:dyDescent="0.2">
      <c r="A40" s="27" t="s">
        <v>62</v>
      </c>
      <c r="B40" s="29" t="s">
        <v>40</v>
      </c>
      <c r="C40" s="28">
        <v>37351.279000000002</v>
      </c>
      <c r="D40" s="4"/>
      <c r="E40">
        <f t="shared" si="0"/>
        <v>-9445.4841271766109</v>
      </c>
      <c r="F40">
        <f t="shared" si="1"/>
        <v>-9445.5</v>
      </c>
      <c r="G40">
        <f t="shared" si="2"/>
        <v>2.5458550000621472E-2</v>
      </c>
      <c r="I40">
        <f t="shared" si="3"/>
        <v>2.5458550000621472E-2</v>
      </c>
      <c r="O40">
        <f t="shared" ca="1" si="4"/>
        <v>-2.670509559001322E-2</v>
      </c>
      <c r="Q40" s="2">
        <f t="shared" si="5"/>
        <v>22332.779000000002</v>
      </c>
    </row>
    <row r="41" spans="1:17" x14ac:dyDescent="0.2">
      <c r="A41" s="27" t="s">
        <v>62</v>
      </c>
      <c r="B41" s="29" t="s">
        <v>40</v>
      </c>
      <c r="C41" s="28">
        <v>37367.29</v>
      </c>
      <c r="D41" s="4"/>
      <c r="E41">
        <f t="shared" si="0"/>
        <v>-9435.5016350375681</v>
      </c>
      <c r="F41">
        <f t="shared" si="1"/>
        <v>-9435.5</v>
      </c>
      <c r="G41">
        <f t="shared" si="2"/>
        <v>-2.6224499961244874E-3</v>
      </c>
      <c r="I41">
        <f t="shared" si="3"/>
        <v>-2.6224499961244874E-3</v>
      </c>
      <c r="O41">
        <f t="shared" ca="1" si="4"/>
        <v>-2.6676456275352031E-2</v>
      </c>
      <c r="Q41" s="2">
        <f t="shared" si="5"/>
        <v>22348.79</v>
      </c>
    </row>
    <row r="42" spans="1:17" x14ac:dyDescent="0.2">
      <c r="A42" s="9" t="s">
        <v>39</v>
      </c>
      <c r="B42" s="8" t="s">
        <v>40</v>
      </c>
      <c r="C42" s="10">
        <v>53437.652399999999</v>
      </c>
      <c r="D42" s="10">
        <v>2.9999999999999997E-4</v>
      </c>
      <c r="E42">
        <f t="shared" si="0"/>
        <v>584.00160208680302</v>
      </c>
      <c r="F42">
        <f t="shared" si="1"/>
        <v>584</v>
      </c>
      <c r="G42">
        <f t="shared" si="2"/>
        <v>2.5696000011521392E-3</v>
      </c>
      <c r="K42">
        <f t="shared" ref="K42:K50" si="6">+G42</f>
        <v>2.5696000011521392E-3</v>
      </c>
      <c r="O42">
        <f t="shared" ca="1" si="4"/>
        <v>2.0187050494295169E-3</v>
      </c>
      <c r="Q42" s="2">
        <f t="shared" si="5"/>
        <v>38419.152399999999</v>
      </c>
    </row>
    <row r="43" spans="1:17" x14ac:dyDescent="0.2">
      <c r="A43" s="27" t="s">
        <v>131</v>
      </c>
      <c r="B43" s="29" t="s">
        <v>34</v>
      </c>
      <c r="C43" s="28">
        <v>54561.992400000003</v>
      </c>
      <c r="D43" s="4"/>
      <c r="E43">
        <f t="shared" si="0"/>
        <v>1285.0018651318014</v>
      </c>
      <c r="F43">
        <f t="shared" si="1"/>
        <v>1285</v>
      </c>
      <c r="G43">
        <f t="shared" si="2"/>
        <v>2.9915000050095841E-3</v>
      </c>
      <c r="K43">
        <f t="shared" si="6"/>
        <v>2.9915000050095841E-3</v>
      </c>
      <c r="O43">
        <f t="shared" ca="1" si="4"/>
        <v>4.0263210071790918E-3</v>
      </c>
      <c r="Q43" s="2">
        <f t="shared" si="5"/>
        <v>39543.492400000003</v>
      </c>
    </row>
    <row r="44" spans="1:17" x14ac:dyDescent="0.2">
      <c r="A44" s="7" t="s">
        <v>41</v>
      </c>
      <c r="B44" s="6" t="s">
        <v>34</v>
      </c>
      <c r="C44" s="7">
        <v>54821.827899999997</v>
      </c>
      <c r="D44" s="7">
        <v>2.9999999999999997E-4</v>
      </c>
      <c r="E44">
        <f t="shared" si="0"/>
        <v>1447.0033538704604</v>
      </c>
      <c r="F44">
        <f t="shared" si="1"/>
        <v>1447</v>
      </c>
      <c r="G44">
        <f t="shared" si="2"/>
        <v>5.3792999970028177E-3</v>
      </c>
      <c r="K44">
        <f t="shared" si="6"/>
        <v>5.3792999970028177E-3</v>
      </c>
      <c r="O44">
        <f t="shared" ca="1" si="4"/>
        <v>4.4902779046904059E-3</v>
      </c>
      <c r="Q44" s="2">
        <f t="shared" si="5"/>
        <v>39803.327899999997</v>
      </c>
    </row>
    <row r="45" spans="1:17" x14ac:dyDescent="0.2">
      <c r="A45" s="11" t="s">
        <v>44</v>
      </c>
      <c r="B45" s="12" t="s">
        <v>40</v>
      </c>
      <c r="C45" s="13">
        <v>55265.307809999998</v>
      </c>
      <c r="D45" s="13">
        <v>2.0000000000000001E-4</v>
      </c>
      <c r="E45">
        <f t="shared" si="0"/>
        <v>1723.5029301242382</v>
      </c>
      <c r="F45">
        <f t="shared" si="1"/>
        <v>1723.5</v>
      </c>
      <c r="G45">
        <f t="shared" si="2"/>
        <v>4.69965000229422E-3</v>
      </c>
      <c r="K45">
        <f t="shared" si="6"/>
        <v>4.69965000229422E-3</v>
      </c>
      <c r="O45">
        <f t="shared" ca="1" si="4"/>
        <v>5.2821549550723709E-3</v>
      </c>
      <c r="Q45" s="2">
        <f t="shared" si="5"/>
        <v>40246.807809999998</v>
      </c>
    </row>
    <row r="46" spans="1:17" x14ac:dyDescent="0.2">
      <c r="A46" s="11" t="s">
        <v>44</v>
      </c>
      <c r="B46" s="12" t="s">
        <v>34</v>
      </c>
      <c r="C46" s="13">
        <v>55601.327749999997</v>
      </c>
      <c r="D46" s="13">
        <v>5.9999999999999995E-4</v>
      </c>
      <c r="E46">
        <f t="shared" si="0"/>
        <v>1933.003673963613</v>
      </c>
      <c r="F46">
        <f t="shared" si="1"/>
        <v>1933</v>
      </c>
      <c r="G46">
        <f t="shared" si="2"/>
        <v>5.8926999990944751E-3</v>
      </c>
      <c r="K46">
        <f t="shared" si="6"/>
        <v>5.8926999990944751E-3</v>
      </c>
      <c r="O46">
        <f t="shared" ca="1" si="4"/>
        <v>5.8821485972243475E-3</v>
      </c>
      <c r="Q46" s="2">
        <f t="shared" si="5"/>
        <v>40582.827749999997</v>
      </c>
    </row>
    <row r="47" spans="1:17" x14ac:dyDescent="0.2">
      <c r="A47" s="11" t="s">
        <v>44</v>
      </c>
      <c r="B47" s="12" t="s">
        <v>34</v>
      </c>
      <c r="C47" s="13">
        <v>55601.328849999998</v>
      </c>
      <c r="D47" s="13">
        <v>6.9999999999999999E-4</v>
      </c>
      <c r="E47">
        <f t="shared" si="0"/>
        <v>1933.0043597884437</v>
      </c>
      <c r="F47">
        <f t="shared" si="1"/>
        <v>1933</v>
      </c>
      <c r="G47">
        <f t="shared" si="2"/>
        <v>6.9927000004099682E-3</v>
      </c>
      <c r="K47">
        <f t="shared" si="6"/>
        <v>6.9927000004099682E-3</v>
      </c>
      <c r="O47">
        <f t="shared" ca="1" si="4"/>
        <v>5.8821485972243475E-3</v>
      </c>
      <c r="Q47" s="2">
        <f t="shared" si="5"/>
        <v>40582.828849999998</v>
      </c>
    </row>
    <row r="48" spans="1:17" x14ac:dyDescent="0.2">
      <c r="A48" s="11" t="s">
        <v>44</v>
      </c>
      <c r="B48" s="12" t="s">
        <v>34</v>
      </c>
      <c r="C48" s="13">
        <v>55601.328950000003</v>
      </c>
      <c r="D48" s="13">
        <v>2.9999999999999997E-4</v>
      </c>
      <c r="E48">
        <f t="shared" si="0"/>
        <v>1933.0044221361586</v>
      </c>
      <c r="F48">
        <f t="shared" si="1"/>
        <v>1933</v>
      </c>
      <c r="G48">
        <f t="shared" si="2"/>
        <v>7.0927000051597133E-3</v>
      </c>
      <c r="K48">
        <f t="shared" si="6"/>
        <v>7.0927000051597133E-3</v>
      </c>
      <c r="O48">
        <f t="shared" ca="1" si="4"/>
        <v>5.8821485972243475E-3</v>
      </c>
      <c r="Q48" s="2">
        <f t="shared" si="5"/>
        <v>40582.828950000003</v>
      </c>
    </row>
    <row r="49" spans="1:17" x14ac:dyDescent="0.2">
      <c r="A49" s="7" t="s">
        <v>45</v>
      </c>
      <c r="B49" s="6" t="s">
        <v>34</v>
      </c>
      <c r="C49" s="7">
        <v>55984.659500000002</v>
      </c>
      <c r="D49" s="7">
        <v>5.0000000000000001E-4</v>
      </c>
      <c r="E49">
        <f t="shared" si="0"/>
        <v>2172.0022487572714</v>
      </c>
      <c r="F49">
        <f t="shared" si="1"/>
        <v>2172</v>
      </c>
      <c r="G49">
        <f t="shared" si="2"/>
        <v>3.6068000044906512E-3</v>
      </c>
      <c r="K49">
        <f t="shared" si="6"/>
        <v>3.6068000044906512E-3</v>
      </c>
      <c r="O49">
        <f t="shared" ca="1" si="4"/>
        <v>6.5666282176268416E-3</v>
      </c>
      <c r="Q49" s="2">
        <f t="shared" si="5"/>
        <v>40966.159500000002</v>
      </c>
    </row>
    <row r="50" spans="1:17" x14ac:dyDescent="0.2">
      <c r="A50" s="30" t="s">
        <v>0</v>
      </c>
      <c r="B50" s="31" t="s">
        <v>34</v>
      </c>
      <c r="C50" s="30">
        <v>58157.962799999863</v>
      </c>
      <c r="D50" s="30" t="s">
        <v>13</v>
      </c>
      <c r="E50">
        <f t="shared" si="0"/>
        <v>3527.0071271538964</v>
      </c>
      <c r="F50">
        <f t="shared" si="1"/>
        <v>3527</v>
      </c>
      <c r="G50">
        <f t="shared" si="2"/>
        <v>1.1431299863033928E-2</v>
      </c>
      <c r="K50">
        <f t="shared" si="6"/>
        <v>1.1431299863033928E-2</v>
      </c>
      <c r="O50">
        <f t="shared" ca="1" si="4"/>
        <v>1.0447255354218386E-2</v>
      </c>
      <c r="Q50" s="2">
        <f t="shared" si="5"/>
        <v>43139.462799999863</v>
      </c>
    </row>
    <row r="51" spans="1:17" x14ac:dyDescent="0.2">
      <c r="A51" s="32" t="s">
        <v>156</v>
      </c>
      <c r="B51" s="33" t="s">
        <v>40</v>
      </c>
      <c r="C51" s="34">
        <v>59902.214300000109</v>
      </c>
      <c r="D51" s="4"/>
      <c r="E51">
        <f t="shared" ref="E51:E52" si="7">+(C51-C$7)/C$8</f>
        <v>4614.5080257404461</v>
      </c>
      <c r="F51">
        <f t="shared" ref="F51:F52" si="8">ROUND(2*E51,0)/2</f>
        <v>4614.5</v>
      </c>
      <c r="G51">
        <f t="shared" ref="G51:G52" si="9">+C51-(C$7+F51*C$8)</f>
        <v>1.2872550112660974E-2</v>
      </c>
      <c r="K51">
        <f t="shared" ref="K51:K52" si="10">+G51</f>
        <v>1.2872550112660974E-2</v>
      </c>
      <c r="O51">
        <f t="shared" ref="O51:O52" ca="1" si="11">+C$11+C$12*$F51</f>
        <v>1.3561780823623044E-2</v>
      </c>
      <c r="Q51" s="2">
        <f t="shared" ref="Q51:Q52" si="12">+C51-15018.5</f>
        <v>44883.714300000109</v>
      </c>
    </row>
    <row r="52" spans="1:17" x14ac:dyDescent="0.2">
      <c r="A52" s="32" t="s">
        <v>156</v>
      </c>
      <c r="B52" s="33" t="s">
        <v>40</v>
      </c>
      <c r="C52" s="34">
        <v>59902.215499999933</v>
      </c>
      <c r="D52" s="4"/>
      <c r="E52">
        <f t="shared" si="7"/>
        <v>4614.5087739128785</v>
      </c>
      <c r="F52">
        <f t="shared" si="8"/>
        <v>4614.5</v>
      </c>
      <c r="G52">
        <f t="shared" si="9"/>
        <v>1.4072549936827272E-2</v>
      </c>
      <c r="K52">
        <f t="shared" si="10"/>
        <v>1.4072549936827272E-2</v>
      </c>
      <c r="O52">
        <f t="shared" ca="1" si="11"/>
        <v>1.3561780823623044E-2</v>
      </c>
      <c r="Q52" s="2">
        <f t="shared" si="12"/>
        <v>44883.715499999933</v>
      </c>
    </row>
    <row r="53" spans="1:17" x14ac:dyDescent="0.2">
      <c r="B53" s="3"/>
      <c r="C53" s="4"/>
      <c r="D53" s="4"/>
    </row>
    <row r="54" spans="1:17" x14ac:dyDescent="0.2">
      <c r="B54" s="3"/>
      <c r="C54" s="4"/>
      <c r="D54" s="4"/>
    </row>
    <row r="55" spans="1:17" x14ac:dyDescent="0.2">
      <c r="B55" s="3"/>
      <c r="C55" s="4"/>
      <c r="D55" s="4"/>
    </row>
    <row r="56" spans="1:17" x14ac:dyDescent="0.2">
      <c r="B56" s="3"/>
      <c r="C56" s="4"/>
      <c r="D56" s="4"/>
    </row>
    <row r="57" spans="1:17" x14ac:dyDescent="0.2">
      <c r="B57" s="3"/>
      <c r="C57" s="4"/>
      <c r="D57" s="4"/>
    </row>
    <row r="58" spans="1:17" x14ac:dyDescent="0.2">
      <c r="B58" s="3"/>
      <c r="C58" s="4"/>
      <c r="D58" s="4"/>
    </row>
    <row r="59" spans="1:17" x14ac:dyDescent="0.2">
      <c r="B59" s="3"/>
      <c r="C59" s="4"/>
      <c r="D59" s="4"/>
    </row>
    <row r="60" spans="1:17" x14ac:dyDescent="0.2">
      <c r="C60" s="4"/>
      <c r="D60" s="4"/>
    </row>
    <row r="61" spans="1:17" x14ac:dyDescent="0.2">
      <c r="C61" s="4"/>
      <c r="D61" s="4"/>
    </row>
    <row r="62" spans="1:17" x14ac:dyDescent="0.2">
      <c r="C62" s="4"/>
      <c r="D62" s="4"/>
    </row>
    <row r="63" spans="1:17" x14ac:dyDescent="0.2">
      <c r="C63" s="4"/>
      <c r="D63" s="4"/>
    </row>
    <row r="64" spans="1:17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</sheetData>
  <phoneticPr fontId="7" type="noConversion"/>
  <hyperlinks>
    <hyperlink ref="H63106" r:id="rId1" display="http://vsolj.cetus-net.org/bulletin.html" xr:uid="{00000000-0004-0000-0000-000000000000}"/>
    <hyperlink ref="H63099" r:id="rId2" display="https://www.aavso.org/ejaavso" xr:uid="{00000000-0004-0000-0000-000001000000}"/>
    <hyperlink ref="I63106" r:id="rId3" display="http://vsolj.cetus-net.org/bulletin.html" xr:uid="{00000000-0004-0000-0000-000002000000}"/>
    <hyperlink ref="AQ56757" r:id="rId4" display="http://cdsbib.u-strasbg.fr/cgi-bin/cdsbib?1990RMxAA..21..381G" xr:uid="{00000000-0004-0000-0000-000003000000}"/>
    <hyperlink ref="H63103" r:id="rId5" display="https://www.aavso.org/ejaavso" xr:uid="{00000000-0004-0000-0000-000004000000}"/>
    <hyperlink ref="AP4121" r:id="rId6" display="http://cdsbib.u-strasbg.fr/cgi-bin/cdsbib?1990RMxAA..21..381G" xr:uid="{00000000-0004-0000-0000-000005000000}"/>
    <hyperlink ref="AP4124" r:id="rId7" display="http://cdsbib.u-strasbg.fr/cgi-bin/cdsbib?1990RMxAA..21..381G" xr:uid="{00000000-0004-0000-0000-000006000000}"/>
    <hyperlink ref="AP4122" r:id="rId8" display="http://cdsbib.u-strasbg.fr/cgi-bin/cdsbib?1990RMxAA..21..381G" xr:uid="{00000000-0004-0000-0000-000007000000}"/>
    <hyperlink ref="AP4106" r:id="rId9" display="http://cdsbib.u-strasbg.fr/cgi-bin/cdsbib?1990RMxAA..21..381G" xr:uid="{00000000-0004-0000-0000-000008000000}"/>
    <hyperlink ref="AQ4335" r:id="rId10" display="http://cdsbib.u-strasbg.fr/cgi-bin/cdsbib?1990RMxAA..21..381G" xr:uid="{00000000-0004-0000-0000-000009000000}"/>
    <hyperlink ref="AQ4339" r:id="rId11" display="http://cdsbib.u-strasbg.fr/cgi-bin/cdsbib?1990RMxAA..21..381G" xr:uid="{00000000-0004-0000-0000-00000A000000}"/>
    <hyperlink ref="AQ64019" r:id="rId12" display="http://cdsbib.u-strasbg.fr/cgi-bin/cdsbib?1990RMxAA..21..381G" xr:uid="{00000000-0004-0000-0000-00000B000000}"/>
    <hyperlink ref="I1227" r:id="rId13" display="http://vsolj.cetus-net.org/bulletin.html" xr:uid="{00000000-0004-0000-0000-00000C000000}"/>
    <hyperlink ref="H1227" r:id="rId14" display="http://vsolj.cetus-net.org/bulletin.html" xr:uid="{00000000-0004-0000-0000-00000D000000}"/>
    <hyperlink ref="AQ64680" r:id="rId15" display="http://cdsbib.u-strasbg.fr/cgi-bin/cdsbib?1990RMxAA..21..381G" xr:uid="{00000000-0004-0000-0000-00000E000000}"/>
    <hyperlink ref="AQ64679" r:id="rId16" display="http://cdsbib.u-strasbg.fr/cgi-bin/cdsbib?1990RMxAA..21..381G" xr:uid="{00000000-0004-0000-0000-00000F000000}"/>
    <hyperlink ref="AP2397" r:id="rId17" display="http://cdsbib.u-strasbg.fr/cgi-bin/cdsbib?1990RMxAA..21..381G" xr:uid="{00000000-0004-0000-0000-000010000000}"/>
    <hyperlink ref="AP2415" r:id="rId18" display="http://cdsbib.u-strasbg.fr/cgi-bin/cdsbib?1990RMxAA..21..381G" xr:uid="{00000000-0004-0000-0000-000011000000}"/>
    <hyperlink ref="AP2416" r:id="rId19" display="http://cdsbib.u-strasbg.fr/cgi-bin/cdsbib?1990RMxAA..21..381G" xr:uid="{00000000-0004-0000-0000-000012000000}"/>
    <hyperlink ref="AP241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4"/>
  <sheetViews>
    <sheetView workbookViewId="0">
      <selection activeCell="A14" sqref="A14:C38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4" t="s">
        <v>46</v>
      </c>
      <c r="I1" s="15" t="s">
        <v>47</v>
      </c>
      <c r="J1" s="16" t="s">
        <v>48</v>
      </c>
    </row>
    <row r="2" spans="1:16" x14ac:dyDescent="0.2">
      <c r="I2" s="17" t="s">
        <v>49</v>
      </c>
      <c r="J2" s="18" t="s">
        <v>50</v>
      </c>
    </row>
    <row r="3" spans="1:16" x14ac:dyDescent="0.2">
      <c r="A3" s="19" t="s">
        <v>51</v>
      </c>
      <c r="I3" s="17" t="s">
        <v>52</v>
      </c>
      <c r="J3" s="18" t="s">
        <v>53</v>
      </c>
    </row>
    <row r="4" spans="1:16" x14ac:dyDescent="0.2">
      <c r="I4" s="17" t="s">
        <v>54</v>
      </c>
      <c r="J4" s="18" t="s">
        <v>53</v>
      </c>
    </row>
    <row r="5" spans="1:16" ht="13.5" thickBot="1" x14ac:dyDescent="0.25">
      <c r="I5" s="20" t="s">
        <v>55</v>
      </c>
      <c r="J5" s="21" t="s">
        <v>56</v>
      </c>
    </row>
    <row r="10" spans="1:16" ht="13.5" thickBot="1" x14ac:dyDescent="0.25"/>
    <row r="11" spans="1:16" ht="12.75" customHeight="1" thickBot="1" x14ac:dyDescent="0.25">
      <c r="A11" s="4" t="str">
        <f t="shared" ref="A11:A38" si="0">P11</f>
        <v>IBVS 5690 </v>
      </c>
      <c r="B11" s="3" t="str">
        <f t="shared" ref="B11:B38" si="1">IF(H11=INT(H11),"I","II")</f>
        <v>I</v>
      </c>
      <c r="C11" s="4">
        <f t="shared" ref="C11:C38" si="2">1*G11</f>
        <v>53437.652399999999</v>
      </c>
      <c r="D11" s="5" t="str">
        <f t="shared" ref="D11:D38" si="3">VLOOKUP(F11,I$1:J$5,2,FALSE)</f>
        <v>vis</v>
      </c>
      <c r="E11" s="22">
        <f>VLOOKUP(C11,Active!C$21:E$969,3,FALSE)</f>
        <v>584.00160208680302</v>
      </c>
      <c r="F11" s="3" t="s">
        <v>55</v>
      </c>
      <c r="G11" s="5" t="str">
        <f t="shared" ref="G11:G38" si="4">MID(I11,3,LEN(I11)-3)</f>
        <v>53437.6524</v>
      </c>
      <c r="H11" s="4">
        <f t="shared" ref="H11:H38" si="5">1*K11</f>
        <v>17362</v>
      </c>
      <c r="I11" s="23" t="s">
        <v>119</v>
      </c>
      <c r="J11" s="24" t="s">
        <v>120</v>
      </c>
      <c r="K11" s="23">
        <v>17362</v>
      </c>
      <c r="L11" s="23" t="s">
        <v>121</v>
      </c>
      <c r="M11" s="24" t="s">
        <v>122</v>
      </c>
      <c r="N11" s="24" t="s">
        <v>123</v>
      </c>
      <c r="O11" s="25" t="s">
        <v>124</v>
      </c>
      <c r="P11" s="26" t="s">
        <v>125</v>
      </c>
    </row>
    <row r="12" spans="1:16" ht="12.75" customHeight="1" thickBot="1" x14ac:dyDescent="0.25">
      <c r="A12" s="4" t="str">
        <f t="shared" si="0"/>
        <v>IBVS 5871 </v>
      </c>
      <c r="B12" s="3" t="str">
        <f t="shared" si="1"/>
        <v>I</v>
      </c>
      <c r="C12" s="4">
        <f t="shared" si="2"/>
        <v>54821.827899999997</v>
      </c>
      <c r="D12" s="5" t="str">
        <f t="shared" si="3"/>
        <v>vis</v>
      </c>
      <c r="E12" s="22">
        <f>VLOOKUP(C12,Active!C$21:E$969,3,FALSE)</f>
        <v>1447.0033538704604</v>
      </c>
      <c r="F12" s="3" t="s">
        <v>55</v>
      </c>
      <c r="G12" s="5" t="str">
        <f t="shared" si="4"/>
        <v>54821.8279</v>
      </c>
      <c r="H12" s="4">
        <f t="shared" si="5"/>
        <v>18225</v>
      </c>
      <c r="I12" s="23" t="s">
        <v>132</v>
      </c>
      <c r="J12" s="24" t="s">
        <v>133</v>
      </c>
      <c r="K12" s="23">
        <v>18225</v>
      </c>
      <c r="L12" s="23" t="s">
        <v>134</v>
      </c>
      <c r="M12" s="24" t="s">
        <v>129</v>
      </c>
      <c r="N12" s="24" t="s">
        <v>55</v>
      </c>
      <c r="O12" s="25" t="s">
        <v>135</v>
      </c>
      <c r="P12" s="26" t="s">
        <v>136</v>
      </c>
    </row>
    <row r="13" spans="1:16" ht="12.75" customHeight="1" thickBot="1" x14ac:dyDescent="0.25">
      <c r="A13" s="4" t="str">
        <f t="shared" si="0"/>
        <v>IBVS 6029 </v>
      </c>
      <c r="B13" s="3" t="str">
        <f t="shared" si="1"/>
        <v>I</v>
      </c>
      <c r="C13" s="4">
        <f t="shared" si="2"/>
        <v>55984.659500000002</v>
      </c>
      <c r="D13" s="5" t="str">
        <f t="shared" si="3"/>
        <v>vis</v>
      </c>
      <c r="E13" s="22">
        <f>VLOOKUP(C13,Active!C$21:E$969,3,FALSE)</f>
        <v>2172.0022487572714</v>
      </c>
      <c r="F13" s="3" t="s">
        <v>55</v>
      </c>
      <c r="G13" s="5" t="str">
        <f t="shared" si="4"/>
        <v>55984.6595</v>
      </c>
      <c r="H13" s="4">
        <f t="shared" si="5"/>
        <v>18950</v>
      </c>
      <c r="I13" s="23" t="s">
        <v>152</v>
      </c>
      <c r="J13" s="24" t="s">
        <v>153</v>
      </c>
      <c r="K13" s="23">
        <v>18950</v>
      </c>
      <c r="L13" s="23" t="s">
        <v>154</v>
      </c>
      <c r="M13" s="24" t="s">
        <v>129</v>
      </c>
      <c r="N13" s="24" t="s">
        <v>55</v>
      </c>
      <c r="O13" s="25" t="s">
        <v>135</v>
      </c>
      <c r="P13" s="26" t="s">
        <v>155</v>
      </c>
    </row>
    <row r="14" spans="1:16" ht="12.75" customHeight="1" thickBot="1" x14ac:dyDescent="0.25">
      <c r="A14" s="4" t="str">
        <f t="shared" si="0"/>
        <v> VSS 7.131 </v>
      </c>
      <c r="B14" s="3" t="str">
        <f t="shared" si="1"/>
        <v>I</v>
      </c>
      <c r="C14" s="4">
        <f t="shared" si="2"/>
        <v>25590.584999999999</v>
      </c>
      <c r="D14" s="5" t="str">
        <f t="shared" si="3"/>
        <v>vis</v>
      </c>
      <c r="E14" s="22">
        <f>VLOOKUP(C14,Active!C$21:E$969,3,FALSE)</f>
        <v>-16778.007729994006</v>
      </c>
      <c r="F14" s="3" t="s">
        <v>55</v>
      </c>
      <c r="G14" s="5" t="str">
        <f t="shared" si="4"/>
        <v>25590.585</v>
      </c>
      <c r="H14" s="4">
        <f t="shared" si="5"/>
        <v>0</v>
      </c>
      <c r="I14" s="23" t="s">
        <v>57</v>
      </c>
      <c r="J14" s="24" t="s">
        <v>58</v>
      </c>
      <c r="K14" s="23">
        <v>0</v>
      </c>
      <c r="L14" s="23" t="s">
        <v>59</v>
      </c>
      <c r="M14" s="24" t="s">
        <v>60</v>
      </c>
      <c r="N14" s="24"/>
      <c r="O14" s="25" t="s">
        <v>61</v>
      </c>
      <c r="P14" s="25" t="s">
        <v>62</v>
      </c>
    </row>
    <row r="15" spans="1:16" ht="12.75" customHeight="1" thickBot="1" x14ac:dyDescent="0.25">
      <c r="A15" s="4" t="str">
        <f t="shared" si="0"/>
        <v> VSS 7.131 </v>
      </c>
      <c r="B15" s="3" t="str">
        <f t="shared" si="1"/>
        <v>II</v>
      </c>
      <c r="C15" s="4">
        <f t="shared" si="2"/>
        <v>25623.534</v>
      </c>
      <c r="D15" s="5" t="str">
        <f t="shared" si="3"/>
        <v>vis</v>
      </c>
      <c r="E15" s="22">
        <f>VLOOKUP(C15,Active!C$21:E$969,3,FALSE)</f>
        <v>-16757.464782427371</v>
      </c>
      <c r="F15" s="3" t="s">
        <v>55</v>
      </c>
      <c r="G15" s="5" t="str">
        <f t="shared" si="4"/>
        <v>25623.534</v>
      </c>
      <c r="H15" s="4">
        <f t="shared" si="5"/>
        <v>20.5</v>
      </c>
      <c r="I15" s="23" t="s">
        <v>63</v>
      </c>
      <c r="J15" s="24" t="s">
        <v>64</v>
      </c>
      <c r="K15" s="23">
        <v>20.5</v>
      </c>
      <c r="L15" s="23" t="s">
        <v>65</v>
      </c>
      <c r="M15" s="24" t="s">
        <v>60</v>
      </c>
      <c r="N15" s="24"/>
      <c r="O15" s="25" t="s">
        <v>61</v>
      </c>
      <c r="P15" s="25" t="s">
        <v>62</v>
      </c>
    </row>
    <row r="16" spans="1:16" ht="12.75" customHeight="1" thickBot="1" x14ac:dyDescent="0.25">
      <c r="A16" s="4" t="str">
        <f t="shared" si="0"/>
        <v> VSS 7.131 </v>
      </c>
      <c r="B16" s="3" t="str">
        <f t="shared" si="1"/>
        <v>I</v>
      </c>
      <c r="C16" s="4">
        <f t="shared" si="2"/>
        <v>26352.446</v>
      </c>
      <c r="D16" s="5" t="str">
        <f t="shared" si="3"/>
        <v>vis</v>
      </c>
      <c r="E16" s="22">
        <f>VLOOKUP(C16,Active!C$21:E$969,3,FALSE)</f>
        <v>-16303.004829266714</v>
      </c>
      <c r="F16" s="3" t="s">
        <v>55</v>
      </c>
      <c r="G16" s="5" t="str">
        <f t="shared" si="4"/>
        <v>26352.446</v>
      </c>
      <c r="H16" s="4">
        <f t="shared" si="5"/>
        <v>475</v>
      </c>
      <c r="I16" s="23" t="s">
        <v>66</v>
      </c>
      <c r="J16" s="24" t="s">
        <v>67</v>
      </c>
      <c r="K16" s="23">
        <v>475</v>
      </c>
      <c r="L16" s="23" t="s">
        <v>68</v>
      </c>
      <c r="M16" s="24" t="s">
        <v>60</v>
      </c>
      <c r="N16" s="24"/>
      <c r="O16" s="25" t="s">
        <v>61</v>
      </c>
      <c r="P16" s="25" t="s">
        <v>62</v>
      </c>
    </row>
    <row r="17" spans="1:16" ht="12.75" customHeight="1" thickBot="1" x14ac:dyDescent="0.25">
      <c r="A17" s="4" t="str">
        <f t="shared" si="0"/>
        <v> VSS 7.131 </v>
      </c>
      <c r="B17" s="3" t="str">
        <f t="shared" si="1"/>
        <v>I</v>
      </c>
      <c r="C17" s="4">
        <f t="shared" si="2"/>
        <v>27842.451000000001</v>
      </c>
      <c r="D17" s="5" t="str">
        <f t="shared" si="3"/>
        <v>vis</v>
      </c>
      <c r="E17" s="22">
        <f>VLOOKUP(C17,Active!C$21:E$969,3,FALSE)</f>
        <v>-15374.02080580552</v>
      </c>
      <c r="F17" s="3" t="s">
        <v>55</v>
      </c>
      <c r="G17" s="5" t="str">
        <f t="shared" si="4"/>
        <v>27842.451</v>
      </c>
      <c r="H17" s="4">
        <f t="shared" si="5"/>
        <v>1404</v>
      </c>
      <c r="I17" s="23" t="s">
        <v>69</v>
      </c>
      <c r="J17" s="24" t="s">
        <v>70</v>
      </c>
      <c r="K17" s="23">
        <v>1404</v>
      </c>
      <c r="L17" s="23" t="s">
        <v>71</v>
      </c>
      <c r="M17" s="24" t="s">
        <v>60</v>
      </c>
      <c r="N17" s="24"/>
      <c r="O17" s="25" t="s">
        <v>61</v>
      </c>
      <c r="P17" s="25" t="s">
        <v>62</v>
      </c>
    </row>
    <row r="18" spans="1:16" ht="12.75" customHeight="1" thickBot="1" x14ac:dyDescent="0.25">
      <c r="A18" s="4" t="str">
        <f t="shared" si="0"/>
        <v> VSS 7.131 </v>
      </c>
      <c r="B18" s="3" t="str">
        <f t="shared" si="1"/>
        <v>II</v>
      </c>
      <c r="C18" s="4">
        <f t="shared" si="2"/>
        <v>28547.448</v>
      </c>
      <c r="D18" s="5" t="str">
        <f t="shared" si="3"/>
        <v>vis</v>
      </c>
      <c r="E18" s="22">
        <f>VLOOKUP(C18,Active!C$21:E$969,3,FALSE)</f>
        <v>-14934.471307925935</v>
      </c>
      <c r="F18" s="3" t="s">
        <v>55</v>
      </c>
      <c r="G18" s="5" t="str">
        <f t="shared" si="4"/>
        <v>28547.448</v>
      </c>
      <c r="H18" s="4">
        <f t="shared" si="5"/>
        <v>1843.5</v>
      </c>
      <c r="I18" s="23" t="s">
        <v>72</v>
      </c>
      <c r="J18" s="24" t="s">
        <v>73</v>
      </c>
      <c r="K18" s="23">
        <v>1843.5</v>
      </c>
      <c r="L18" s="23" t="s">
        <v>74</v>
      </c>
      <c r="M18" s="24" t="s">
        <v>60</v>
      </c>
      <c r="N18" s="24"/>
      <c r="O18" s="25" t="s">
        <v>61</v>
      </c>
      <c r="P18" s="25" t="s">
        <v>62</v>
      </c>
    </row>
    <row r="19" spans="1:16" ht="12.75" customHeight="1" thickBot="1" x14ac:dyDescent="0.25">
      <c r="A19" s="4" t="str">
        <f t="shared" si="0"/>
        <v> VSS 7.131 </v>
      </c>
      <c r="B19" s="3" t="str">
        <f t="shared" si="1"/>
        <v>II</v>
      </c>
      <c r="C19" s="4">
        <f t="shared" si="2"/>
        <v>29578.675999999999</v>
      </c>
      <c r="D19" s="5" t="str">
        <f t="shared" si="3"/>
        <v>vis</v>
      </c>
      <c r="E19" s="22">
        <f>VLOOKUP(C19,Active!C$21:E$969,3,FALSE)</f>
        <v>-14291.524246308127</v>
      </c>
      <c r="F19" s="3" t="s">
        <v>55</v>
      </c>
      <c r="G19" s="5" t="str">
        <f t="shared" si="4"/>
        <v>29578.676</v>
      </c>
      <c r="H19" s="4">
        <f t="shared" si="5"/>
        <v>2486.5</v>
      </c>
      <c r="I19" s="23" t="s">
        <v>75</v>
      </c>
      <c r="J19" s="24" t="s">
        <v>76</v>
      </c>
      <c r="K19" s="23">
        <v>2486.5</v>
      </c>
      <c r="L19" s="23" t="s">
        <v>77</v>
      </c>
      <c r="M19" s="24" t="s">
        <v>60</v>
      </c>
      <c r="N19" s="24"/>
      <c r="O19" s="25" t="s">
        <v>61</v>
      </c>
      <c r="P19" s="25" t="s">
        <v>62</v>
      </c>
    </row>
    <row r="20" spans="1:16" ht="12.75" customHeight="1" thickBot="1" x14ac:dyDescent="0.25">
      <c r="A20" s="4" t="str">
        <f t="shared" si="0"/>
        <v> VSS 7.131 </v>
      </c>
      <c r="B20" s="3" t="str">
        <f t="shared" si="1"/>
        <v>I</v>
      </c>
      <c r="C20" s="4">
        <f t="shared" si="2"/>
        <v>29619.629000000001</v>
      </c>
      <c r="D20" s="5" t="str">
        <f t="shared" si="3"/>
        <v>vis</v>
      </c>
      <c r="E20" s="22">
        <f>VLOOKUP(C20,Active!C$21:E$969,3,FALSE)</f>
        <v>-14265.990987887646</v>
      </c>
      <c r="F20" s="3" t="s">
        <v>55</v>
      </c>
      <c r="G20" s="5" t="str">
        <f t="shared" si="4"/>
        <v>29619.629</v>
      </c>
      <c r="H20" s="4">
        <f t="shared" si="5"/>
        <v>2512</v>
      </c>
      <c r="I20" s="23" t="s">
        <v>78</v>
      </c>
      <c r="J20" s="24" t="s">
        <v>79</v>
      </c>
      <c r="K20" s="23">
        <v>2512</v>
      </c>
      <c r="L20" s="23" t="s">
        <v>80</v>
      </c>
      <c r="M20" s="24" t="s">
        <v>60</v>
      </c>
      <c r="N20" s="24"/>
      <c r="O20" s="25" t="s">
        <v>61</v>
      </c>
      <c r="P20" s="25" t="s">
        <v>62</v>
      </c>
    </row>
    <row r="21" spans="1:16" ht="12.75" customHeight="1" thickBot="1" x14ac:dyDescent="0.25">
      <c r="A21" s="4" t="str">
        <f t="shared" si="0"/>
        <v> VSS 7.131 </v>
      </c>
      <c r="B21" s="3" t="str">
        <f t="shared" si="1"/>
        <v>II</v>
      </c>
      <c r="C21" s="4">
        <f t="shared" si="2"/>
        <v>29697.416000000001</v>
      </c>
      <c r="D21" s="5" t="str">
        <f t="shared" si="3"/>
        <v>vis</v>
      </c>
      <c r="E21" s="22">
        <f>VLOOKUP(C21,Active!C$21:E$969,3,FALSE)</f>
        <v>-14217.492573296437</v>
      </c>
      <c r="F21" s="3" t="s">
        <v>55</v>
      </c>
      <c r="G21" s="5" t="str">
        <f t="shared" si="4"/>
        <v>29697.416</v>
      </c>
      <c r="H21" s="4">
        <f t="shared" si="5"/>
        <v>2560.5</v>
      </c>
      <c r="I21" s="23" t="s">
        <v>81</v>
      </c>
      <c r="J21" s="24" t="s">
        <v>82</v>
      </c>
      <c r="K21" s="23">
        <v>2560.5</v>
      </c>
      <c r="L21" s="23" t="s">
        <v>83</v>
      </c>
      <c r="M21" s="24" t="s">
        <v>60</v>
      </c>
      <c r="N21" s="24"/>
      <c r="O21" s="25" t="s">
        <v>61</v>
      </c>
      <c r="P21" s="25" t="s">
        <v>62</v>
      </c>
    </row>
    <row r="22" spans="1:16" ht="12.75" customHeight="1" thickBot="1" x14ac:dyDescent="0.25">
      <c r="A22" s="4" t="str">
        <f t="shared" si="0"/>
        <v> VSS 7.131 </v>
      </c>
      <c r="B22" s="3" t="str">
        <f t="shared" si="1"/>
        <v>I</v>
      </c>
      <c r="C22" s="4">
        <f t="shared" si="2"/>
        <v>29943.688999999998</v>
      </c>
      <c r="D22" s="5" t="str">
        <f t="shared" si="3"/>
        <v>vis</v>
      </c>
      <c r="E22" s="22">
        <f>VLOOKUP(C22,Active!C$21:E$969,3,FALSE)</f>
        <v>-14063.946992972977</v>
      </c>
      <c r="F22" s="3" t="s">
        <v>55</v>
      </c>
      <c r="G22" s="5" t="str">
        <f t="shared" si="4"/>
        <v>29943.689</v>
      </c>
      <c r="H22" s="4">
        <f t="shared" si="5"/>
        <v>2714</v>
      </c>
      <c r="I22" s="23" t="s">
        <v>84</v>
      </c>
      <c r="J22" s="24" t="s">
        <v>85</v>
      </c>
      <c r="K22" s="23">
        <v>2714</v>
      </c>
      <c r="L22" s="23" t="s">
        <v>86</v>
      </c>
      <c r="M22" s="24" t="s">
        <v>60</v>
      </c>
      <c r="N22" s="24"/>
      <c r="O22" s="25" t="s">
        <v>61</v>
      </c>
      <c r="P22" s="25" t="s">
        <v>62</v>
      </c>
    </row>
    <row r="23" spans="1:16" ht="12.75" customHeight="1" thickBot="1" x14ac:dyDescent="0.25">
      <c r="A23" s="4" t="str">
        <f t="shared" si="0"/>
        <v> VSS 7.131 </v>
      </c>
      <c r="B23" s="3" t="str">
        <f t="shared" si="1"/>
        <v>I</v>
      </c>
      <c r="C23" s="4">
        <f t="shared" si="2"/>
        <v>30025.383000000002</v>
      </c>
      <c r="D23" s="5" t="str">
        <f t="shared" si="3"/>
        <v>vis</v>
      </c>
      <c r="E23" s="22">
        <f>VLOOKUP(C23,Active!C$21:E$969,3,FALSE)</f>
        <v>-14013.012653281068</v>
      </c>
      <c r="F23" s="3" t="s">
        <v>55</v>
      </c>
      <c r="G23" s="5" t="str">
        <f t="shared" si="4"/>
        <v>30025.383</v>
      </c>
      <c r="H23" s="4">
        <f t="shared" si="5"/>
        <v>2765</v>
      </c>
      <c r="I23" s="23" t="s">
        <v>87</v>
      </c>
      <c r="J23" s="24" t="s">
        <v>88</v>
      </c>
      <c r="K23" s="23">
        <v>2765</v>
      </c>
      <c r="L23" s="23" t="s">
        <v>89</v>
      </c>
      <c r="M23" s="24" t="s">
        <v>60</v>
      </c>
      <c r="N23" s="24"/>
      <c r="O23" s="25" t="s">
        <v>61</v>
      </c>
      <c r="P23" s="25" t="s">
        <v>62</v>
      </c>
    </row>
    <row r="24" spans="1:16" ht="12.75" customHeight="1" thickBot="1" x14ac:dyDescent="0.25">
      <c r="A24" s="4" t="str">
        <f t="shared" si="0"/>
        <v> VSS 7.131 </v>
      </c>
      <c r="B24" s="3" t="str">
        <f t="shared" si="1"/>
        <v>II</v>
      </c>
      <c r="C24" s="4">
        <f t="shared" si="2"/>
        <v>30369.404999999999</v>
      </c>
      <c r="D24" s="5" t="str">
        <f t="shared" si="3"/>
        <v>vis</v>
      </c>
      <c r="E24" s="22">
        <f>VLOOKUP(C24,Active!C$21:E$969,3,FALSE)</f>
        <v>-13798.522808133459</v>
      </c>
      <c r="F24" s="3" t="s">
        <v>55</v>
      </c>
      <c r="G24" s="5" t="str">
        <f t="shared" si="4"/>
        <v>30369.405</v>
      </c>
      <c r="H24" s="4">
        <f t="shared" si="5"/>
        <v>2979.5</v>
      </c>
      <c r="I24" s="23" t="s">
        <v>90</v>
      </c>
      <c r="J24" s="24" t="s">
        <v>91</v>
      </c>
      <c r="K24" s="23">
        <v>2979.5</v>
      </c>
      <c r="L24" s="23" t="s">
        <v>71</v>
      </c>
      <c r="M24" s="24" t="s">
        <v>60</v>
      </c>
      <c r="N24" s="24"/>
      <c r="O24" s="25" t="s">
        <v>61</v>
      </c>
      <c r="P24" s="25" t="s">
        <v>62</v>
      </c>
    </row>
    <row r="25" spans="1:16" ht="12.75" customHeight="1" thickBot="1" x14ac:dyDescent="0.25">
      <c r="A25" s="4" t="str">
        <f t="shared" si="0"/>
        <v> VSS 7.131 </v>
      </c>
      <c r="B25" s="3" t="str">
        <f t="shared" si="1"/>
        <v>II</v>
      </c>
      <c r="C25" s="4">
        <f t="shared" si="2"/>
        <v>30377.435000000001</v>
      </c>
      <c r="D25" s="5" t="str">
        <f t="shared" si="3"/>
        <v>vis</v>
      </c>
      <c r="E25" s="22">
        <f>VLOOKUP(C25,Active!C$21:E$969,3,FALSE)</f>
        <v>-13793.516286874539</v>
      </c>
      <c r="F25" s="3" t="s">
        <v>55</v>
      </c>
      <c r="G25" s="5" t="str">
        <f t="shared" si="4"/>
        <v>30377.435</v>
      </c>
      <c r="H25" s="4">
        <f t="shared" si="5"/>
        <v>2984.5</v>
      </c>
      <c r="I25" s="23" t="s">
        <v>92</v>
      </c>
      <c r="J25" s="24" t="s">
        <v>93</v>
      </c>
      <c r="K25" s="23">
        <v>2984.5</v>
      </c>
      <c r="L25" s="23" t="s">
        <v>94</v>
      </c>
      <c r="M25" s="24" t="s">
        <v>60</v>
      </c>
      <c r="N25" s="24"/>
      <c r="O25" s="25" t="s">
        <v>61</v>
      </c>
      <c r="P25" s="25" t="s">
        <v>62</v>
      </c>
    </row>
    <row r="26" spans="1:16" ht="12.75" customHeight="1" thickBot="1" x14ac:dyDescent="0.25">
      <c r="A26" s="4" t="str">
        <f t="shared" si="0"/>
        <v> VSS 7.131 </v>
      </c>
      <c r="B26" s="3" t="str">
        <f t="shared" si="1"/>
        <v>I</v>
      </c>
      <c r="C26" s="4">
        <f t="shared" si="2"/>
        <v>30381.525000000001</v>
      </c>
      <c r="D26" s="5" t="str">
        <f t="shared" si="3"/>
        <v>vis</v>
      </c>
      <c r="E26" s="22">
        <f>VLOOKUP(C26,Active!C$21:E$969,3,FALSE)</f>
        <v>-13790.966265461218</v>
      </c>
      <c r="F26" s="3" t="s">
        <v>55</v>
      </c>
      <c r="G26" s="5" t="str">
        <f t="shared" si="4"/>
        <v>30381.525</v>
      </c>
      <c r="H26" s="4">
        <f t="shared" si="5"/>
        <v>2987</v>
      </c>
      <c r="I26" s="23" t="s">
        <v>95</v>
      </c>
      <c r="J26" s="24" t="s">
        <v>96</v>
      </c>
      <c r="K26" s="23">
        <v>2987</v>
      </c>
      <c r="L26" s="23" t="s">
        <v>97</v>
      </c>
      <c r="M26" s="24" t="s">
        <v>60</v>
      </c>
      <c r="N26" s="24"/>
      <c r="O26" s="25" t="s">
        <v>61</v>
      </c>
      <c r="P26" s="25" t="s">
        <v>62</v>
      </c>
    </row>
    <row r="27" spans="1:16" ht="12.75" customHeight="1" thickBot="1" x14ac:dyDescent="0.25">
      <c r="A27" s="4" t="str">
        <f t="shared" si="0"/>
        <v> VSS 7.131 </v>
      </c>
      <c r="B27" s="3" t="str">
        <f t="shared" si="1"/>
        <v>II</v>
      </c>
      <c r="C27" s="4">
        <f t="shared" si="2"/>
        <v>31503.421999999999</v>
      </c>
      <c r="D27" s="5" t="str">
        <f t="shared" si="3"/>
        <v>vis</v>
      </c>
      <c r="E27" s="22">
        <f>VLOOKUP(C27,Active!C$21:E$969,3,FALSE)</f>
        <v>-13091.489157015916</v>
      </c>
      <c r="F27" s="3" t="s">
        <v>55</v>
      </c>
      <c r="G27" s="5" t="str">
        <f t="shared" si="4"/>
        <v>31503.422</v>
      </c>
      <c r="H27" s="4">
        <f t="shared" si="5"/>
        <v>3686.5</v>
      </c>
      <c r="I27" s="23" t="s">
        <v>98</v>
      </c>
      <c r="J27" s="24" t="s">
        <v>99</v>
      </c>
      <c r="K27" s="23">
        <v>3686.5</v>
      </c>
      <c r="L27" s="23" t="s">
        <v>100</v>
      </c>
      <c r="M27" s="24" t="s">
        <v>60</v>
      </c>
      <c r="N27" s="24"/>
      <c r="O27" s="25" t="s">
        <v>61</v>
      </c>
      <c r="P27" s="25" t="s">
        <v>62</v>
      </c>
    </row>
    <row r="28" spans="1:16" ht="12.75" customHeight="1" thickBot="1" x14ac:dyDescent="0.25">
      <c r="A28" s="4" t="str">
        <f t="shared" si="0"/>
        <v> VSS 7.131 </v>
      </c>
      <c r="B28" s="3" t="str">
        <f t="shared" si="1"/>
        <v>I</v>
      </c>
      <c r="C28" s="4">
        <f t="shared" si="2"/>
        <v>33690.351000000002</v>
      </c>
      <c r="D28" s="5" t="str">
        <f t="shared" si="3"/>
        <v>vis</v>
      </c>
      <c r="E28" s="22">
        <f>VLOOKUP(C28,Active!C$21:E$969,3,FALSE)</f>
        <v>-11727.988966450133</v>
      </c>
      <c r="F28" s="3" t="s">
        <v>55</v>
      </c>
      <c r="G28" s="5" t="str">
        <f t="shared" si="4"/>
        <v>33690.351</v>
      </c>
      <c r="H28" s="4">
        <f t="shared" si="5"/>
        <v>5050</v>
      </c>
      <c r="I28" s="23" t="s">
        <v>101</v>
      </c>
      <c r="J28" s="24" t="s">
        <v>102</v>
      </c>
      <c r="K28" s="23">
        <v>5050</v>
      </c>
      <c r="L28" s="23" t="s">
        <v>103</v>
      </c>
      <c r="M28" s="24" t="s">
        <v>60</v>
      </c>
      <c r="N28" s="24"/>
      <c r="O28" s="25" t="s">
        <v>61</v>
      </c>
      <c r="P28" s="25" t="s">
        <v>62</v>
      </c>
    </row>
    <row r="29" spans="1:16" ht="12.75" customHeight="1" thickBot="1" x14ac:dyDescent="0.25">
      <c r="A29" s="4" t="str">
        <f t="shared" si="0"/>
        <v> VSS 7.131 </v>
      </c>
      <c r="B29" s="3" t="str">
        <f t="shared" si="1"/>
        <v>I</v>
      </c>
      <c r="C29" s="4">
        <f t="shared" si="2"/>
        <v>36630.322</v>
      </c>
      <c r="D29" s="5" t="str">
        <f t="shared" si="3"/>
        <v>vis</v>
      </c>
      <c r="E29" s="22">
        <f>VLOOKUP(C29,Active!C$21:E$969,3,FALSE)</f>
        <v>-9894.9843198622166</v>
      </c>
      <c r="F29" s="3" t="s">
        <v>55</v>
      </c>
      <c r="G29" s="5" t="str">
        <f t="shared" si="4"/>
        <v>36630.322</v>
      </c>
      <c r="H29" s="4">
        <f t="shared" si="5"/>
        <v>6883</v>
      </c>
      <c r="I29" s="23" t="s">
        <v>104</v>
      </c>
      <c r="J29" s="24" t="s">
        <v>105</v>
      </c>
      <c r="K29" s="23">
        <v>6883</v>
      </c>
      <c r="L29" s="23" t="s">
        <v>106</v>
      </c>
      <c r="M29" s="24" t="s">
        <v>60</v>
      </c>
      <c r="N29" s="24"/>
      <c r="O29" s="25" t="s">
        <v>61</v>
      </c>
      <c r="P29" s="25" t="s">
        <v>62</v>
      </c>
    </row>
    <row r="30" spans="1:16" ht="12.75" customHeight="1" thickBot="1" x14ac:dyDescent="0.25">
      <c r="A30" s="4" t="str">
        <f t="shared" si="0"/>
        <v> VSS 7.131 </v>
      </c>
      <c r="B30" s="3" t="str">
        <f t="shared" si="1"/>
        <v>II</v>
      </c>
      <c r="C30" s="4">
        <f t="shared" si="2"/>
        <v>36982.415000000001</v>
      </c>
      <c r="D30" s="5" t="str">
        <f t="shared" si="3"/>
        <v>vis</v>
      </c>
      <c r="E30" s="22">
        <f>VLOOKUP(C30,Active!C$21:E$969,3,FALSE)</f>
        <v>-9675.4623908938411</v>
      </c>
      <c r="F30" s="3" t="s">
        <v>55</v>
      </c>
      <c r="G30" s="5" t="str">
        <f t="shared" si="4"/>
        <v>36982.415</v>
      </c>
      <c r="H30" s="4">
        <f t="shared" si="5"/>
        <v>7102.5</v>
      </c>
      <c r="I30" s="23" t="s">
        <v>107</v>
      </c>
      <c r="J30" s="24" t="s">
        <v>108</v>
      </c>
      <c r="K30" s="23">
        <v>7102.5</v>
      </c>
      <c r="L30" s="23" t="s">
        <v>109</v>
      </c>
      <c r="M30" s="24" t="s">
        <v>60</v>
      </c>
      <c r="N30" s="24"/>
      <c r="O30" s="25" t="s">
        <v>61</v>
      </c>
      <c r="P30" s="25" t="s">
        <v>62</v>
      </c>
    </row>
    <row r="31" spans="1:16" ht="12.75" customHeight="1" thickBot="1" x14ac:dyDescent="0.25">
      <c r="A31" s="4" t="str">
        <f t="shared" si="0"/>
        <v> VSS 7.131 </v>
      </c>
      <c r="B31" s="3" t="str">
        <f t="shared" si="1"/>
        <v>II</v>
      </c>
      <c r="C31" s="4">
        <f t="shared" si="2"/>
        <v>37317.589</v>
      </c>
      <c r="D31" s="5" t="str">
        <f t="shared" si="3"/>
        <v>vis</v>
      </c>
      <c r="E31" s="22">
        <f>VLOOKUP(C31,Active!C$21:E$969,3,FALSE)</f>
        <v>-9466.4890712878114</v>
      </c>
      <c r="F31" s="3" t="s">
        <v>55</v>
      </c>
      <c r="G31" s="5" t="str">
        <f t="shared" si="4"/>
        <v>37317.589</v>
      </c>
      <c r="H31" s="4">
        <f t="shared" si="5"/>
        <v>7311.5</v>
      </c>
      <c r="I31" s="23" t="s">
        <v>110</v>
      </c>
      <c r="J31" s="24" t="s">
        <v>111</v>
      </c>
      <c r="K31" s="23">
        <v>7311.5</v>
      </c>
      <c r="L31" s="23" t="s">
        <v>112</v>
      </c>
      <c r="M31" s="24" t="s">
        <v>60</v>
      </c>
      <c r="N31" s="24"/>
      <c r="O31" s="25" t="s">
        <v>61</v>
      </c>
      <c r="P31" s="25" t="s">
        <v>62</v>
      </c>
    </row>
    <row r="32" spans="1:16" ht="12.75" customHeight="1" thickBot="1" x14ac:dyDescent="0.25">
      <c r="A32" s="4" t="str">
        <f t="shared" si="0"/>
        <v> VSS 7.131 </v>
      </c>
      <c r="B32" s="3" t="str">
        <f t="shared" si="1"/>
        <v>II</v>
      </c>
      <c r="C32" s="4">
        <f t="shared" si="2"/>
        <v>37351.279000000002</v>
      </c>
      <c r="D32" s="5" t="str">
        <f t="shared" si="3"/>
        <v>vis</v>
      </c>
      <c r="E32" s="22">
        <f>VLOOKUP(C32,Active!C$21:E$969,3,FALSE)</f>
        <v>-9445.4841271766109</v>
      </c>
      <c r="F32" s="3" t="s">
        <v>55</v>
      </c>
      <c r="G32" s="5" t="str">
        <f t="shared" si="4"/>
        <v>37351.279</v>
      </c>
      <c r="H32" s="4">
        <f t="shared" si="5"/>
        <v>7332.5</v>
      </c>
      <c r="I32" s="23" t="s">
        <v>113</v>
      </c>
      <c r="J32" s="24" t="s">
        <v>114</v>
      </c>
      <c r="K32" s="23">
        <v>7332.5</v>
      </c>
      <c r="L32" s="23" t="s">
        <v>115</v>
      </c>
      <c r="M32" s="24" t="s">
        <v>60</v>
      </c>
      <c r="N32" s="24"/>
      <c r="O32" s="25" t="s">
        <v>61</v>
      </c>
      <c r="P32" s="25" t="s">
        <v>62</v>
      </c>
    </row>
    <row r="33" spans="1:16" ht="12.75" customHeight="1" thickBot="1" x14ac:dyDescent="0.25">
      <c r="A33" s="4" t="str">
        <f t="shared" si="0"/>
        <v> VSS 7.131 </v>
      </c>
      <c r="B33" s="3" t="str">
        <f t="shared" si="1"/>
        <v>II</v>
      </c>
      <c r="C33" s="4">
        <f t="shared" si="2"/>
        <v>37367.29</v>
      </c>
      <c r="D33" s="5" t="str">
        <f t="shared" si="3"/>
        <v>vis</v>
      </c>
      <c r="E33" s="22">
        <f>VLOOKUP(C33,Active!C$21:E$969,3,FALSE)</f>
        <v>-9435.5016350375681</v>
      </c>
      <c r="F33" s="3" t="s">
        <v>55</v>
      </c>
      <c r="G33" s="5" t="str">
        <f t="shared" si="4"/>
        <v>37367.29</v>
      </c>
      <c r="H33" s="4">
        <f t="shared" si="5"/>
        <v>7342.5</v>
      </c>
      <c r="I33" s="23" t="s">
        <v>116</v>
      </c>
      <c r="J33" s="24" t="s">
        <v>117</v>
      </c>
      <c r="K33" s="23">
        <v>7342.5</v>
      </c>
      <c r="L33" s="23" t="s">
        <v>118</v>
      </c>
      <c r="M33" s="24" t="s">
        <v>60</v>
      </c>
      <c r="N33" s="24"/>
      <c r="O33" s="25" t="s">
        <v>61</v>
      </c>
      <c r="P33" s="25" t="s">
        <v>62</v>
      </c>
    </row>
    <row r="34" spans="1:16" ht="12.75" customHeight="1" thickBot="1" x14ac:dyDescent="0.25">
      <c r="A34" s="4" t="str">
        <f t="shared" si="0"/>
        <v>VSB 48 </v>
      </c>
      <c r="B34" s="3" t="str">
        <f t="shared" si="1"/>
        <v>I</v>
      </c>
      <c r="C34" s="4">
        <f t="shared" si="2"/>
        <v>54561.992400000003</v>
      </c>
      <c r="D34" s="5" t="str">
        <f t="shared" si="3"/>
        <v>vis</v>
      </c>
      <c r="E34" s="22">
        <f>VLOOKUP(C34,Active!C$21:E$969,3,FALSE)</f>
        <v>1285.0018651318014</v>
      </c>
      <c r="F34" s="3" t="s">
        <v>55</v>
      </c>
      <c r="G34" s="5" t="str">
        <f t="shared" si="4"/>
        <v>54561.9924</v>
      </c>
      <c r="H34" s="4">
        <f t="shared" si="5"/>
        <v>18063</v>
      </c>
      <c r="I34" s="23" t="s">
        <v>126</v>
      </c>
      <c r="J34" s="24" t="s">
        <v>127</v>
      </c>
      <c r="K34" s="23">
        <v>18063</v>
      </c>
      <c r="L34" s="23" t="s">
        <v>128</v>
      </c>
      <c r="M34" s="24" t="s">
        <v>129</v>
      </c>
      <c r="N34" s="24" t="s">
        <v>55</v>
      </c>
      <c r="O34" s="25" t="s">
        <v>130</v>
      </c>
      <c r="P34" s="26" t="s">
        <v>131</v>
      </c>
    </row>
    <row r="35" spans="1:16" ht="12.75" customHeight="1" thickBot="1" x14ac:dyDescent="0.25">
      <c r="A35" s="4" t="str">
        <f t="shared" si="0"/>
        <v>OEJV 0137 </v>
      </c>
      <c r="B35" s="3" t="str">
        <f t="shared" si="1"/>
        <v>II</v>
      </c>
      <c r="C35" s="4">
        <f t="shared" si="2"/>
        <v>55265.307800000002</v>
      </c>
      <c r="D35" s="5" t="str">
        <f t="shared" si="3"/>
        <v>vis</v>
      </c>
      <c r="E35" s="22" t="e">
        <f>VLOOKUP(C35,Active!C$21:E$969,3,FALSE)</f>
        <v>#N/A</v>
      </c>
      <c r="F35" s="3" t="s">
        <v>55</v>
      </c>
      <c r="G35" s="5" t="str">
        <f t="shared" si="4"/>
        <v>55265.3078</v>
      </c>
      <c r="H35" s="4">
        <f t="shared" si="5"/>
        <v>18501.5</v>
      </c>
      <c r="I35" s="23" t="s">
        <v>137</v>
      </c>
      <c r="J35" s="24" t="s">
        <v>138</v>
      </c>
      <c r="K35" s="23">
        <v>18501.5</v>
      </c>
      <c r="L35" s="23" t="s">
        <v>139</v>
      </c>
      <c r="M35" s="24" t="s">
        <v>129</v>
      </c>
      <c r="N35" s="24" t="s">
        <v>140</v>
      </c>
      <c r="O35" s="25" t="s">
        <v>141</v>
      </c>
      <c r="P35" s="26" t="s">
        <v>142</v>
      </c>
    </row>
    <row r="36" spans="1:16" ht="12.75" customHeight="1" thickBot="1" x14ac:dyDescent="0.25">
      <c r="A36" s="4" t="str">
        <f t="shared" si="0"/>
        <v>OEJV 0137 </v>
      </c>
      <c r="B36" s="3" t="str">
        <f t="shared" si="1"/>
        <v>I</v>
      </c>
      <c r="C36" s="4">
        <f t="shared" si="2"/>
        <v>55601.327700000002</v>
      </c>
      <c r="D36" s="5" t="str">
        <f t="shared" si="3"/>
        <v>vis</v>
      </c>
      <c r="E36" s="22" t="e">
        <f>VLOOKUP(C36,Active!C$21:E$969,3,FALSE)</f>
        <v>#N/A</v>
      </c>
      <c r="F36" s="3" t="s">
        <v>55</v>
      </c>
      <c r="G36" s="5" t="str">
        <f t="shared" si="4"/>
        <v>55601.3277</v>
      </c>
      <c r="H36" s="4">
        <f t="shared" si="5"/>
        <v>18711</v>
      </c>
      <c r="I36" s="23" t="s">
        <v>143</v>
      </c>
      <c r="J36" s="24" t="s">
        <v>144</v>
      </c>
      <c r="K36" s="23">
        <v>18711</v>
      </c>
      <c r="L36" s="23" t="s">
        <v>145</v>
      </c>
      <c r="M36" s="24" t="s">
        <v>129</v>
      </c>
      <c r="N36" s="24" t="s">
        <v>34</v>
      </c>
      <c r="O36" s="25" t="s">
        <v>146</v>
      </c>
      <c r="P36" s="26" t="s">
        <v>142</v>
      </c>
    </row>
    <row r="37" spans="1:16" ht="12.75" customHeight="1" thickBot="1" x14ac:dyDescent="0.25">
      <c r="A37" s="4" t="str">
        <f t="shared" si="0"/>
        <v>OEJV 0137 </v>
      </c>
      <c r="B37" s="3" t="str">
        <f t="shared" si="1"/>
        <v>I</v>
      </c>
      <c r="C37" s="4">
        <f t="shared" si="2"/>
        <v>55601.328800000003</v>
      </c>
      <c r="D37" s="5" t="str">
        <f t="shared" si="3"/>
        <v>vis</v>
      </c>
      <c r="E37" s="22" t="e">
        <f>VLOOKUP(C37,Active!C$21:E$969,3,FALSE)</f>
        <v>#N/A</v>
      </c>
      <c r="F37" s="3" t="s">
        <v>55</v>
      </c>
      <c r="G37" s="5" t="str">
        <f t="shared" si="4"/>
        <v>55601.3288</v>
      </c>
      <c r="H37" s="4">
        <f t="shared" si="5"/>
        <v>18711</v>
      </c>
      <c r="I37" s="23" t="s">
        <v>147</v>
      </c>
      <c r="J37" s="24" t="s">
        <v>148</v>
      </c>
      <c r="K37" s="23">
        <v>18711</v>
      </c>
      <c r="L37" s="23" t="s">
        <v>149</v>
      </c>
      <c r="M37" s="24" t="s">
        <v>129</v>
      </c>
      <c r="N37" s="24" t="s">
        <v>140</v>
      </c>
      <c r="O37" s="25" t="s">
        <v>146</v>
      </c>
      <c r="P37" s="26" t="s">
        <v>142</v>
      </c>
    </row>
    <row r="38" spans="1:16" ht="12.75" customHeight="1" thickBot="1" x14ac:dyDescent="0.25">
      <c r="A38" s="4" t="str">
        <f t="shared" si="0"/>
        <v>OEJV 0137 </v>
      </c>
      <c r="B38" s="3" t="str">
        <f t="shared" si="1"/>
        <v>I</v>
      </c>
      <c r="C38" s="4">
        <f t="shared" si="2"/>
        <v>55601.3289</v>
      </c>
      <c r="D38" s="5" t="str">
        <f t="shared" si="3"/>
        <v>vis</v>
      </c>
      <c r="E38" s="22" t="e">
        <f>VLOOKUP(C38,Active!C$21:E$969,3,FALSE)</f>
        <v>#N/A</v>
      </c>
      <c r="F38" s="3" t="s">
        <v>55</v>
      </c>
      <c r="G38" s="5" t="str">
        <f t="shared" si="4"/>
        <v>55601.3289</v>
      </c>
      <c r="H38" s="4">
        <f t="shared" si="5"/>
        <v>18711</v>
      </c>
      <c r="I38" s="23" t="s">
        <v>150</v>
      </c>
      <c r="J38" s="24" t="s">
        <v>148</v>
      </c>
      <c r="K38" s="23">
        <v>18711</v>
      </c>
      <c r="L38" s="23" t="s">
        <v>151</v>
      </c>
      <c r="M38" s="24" t="s">
        <v>129</v>
      </c>
      <c r="N38" s="24" t="s">
        <v>55</v>
      </c>
      <c r="O38" s="25" t="s">
        <v>146</v>
      </c>
      <c r="P38" s="26" t="s">
        <v>142</v>
      </c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</sheetData>
  <phoneticPr fontId="7" type="noConversion"/>
  <hyperlinks>
    <hyperlink ref="P11" r:id="rId1" display="http://www.konkoly.hu/cgi-bin/IBVS?5690" xr:uid="{00000000-0004-0000-0100-000000000000}"/>
    <hyperlink ref="P34" r:id="rId2" display="http://vsolj.cetus-net.org/no48.pdf" xr:uid="{00000000-0004-0000-0100-000001000000}"/>
    <hyperlink ref="P12" r:id="rId3" display="http://www.konkoly.hu/cgi-bin/IBVS?5871" xr:uid="{00000000-0004-0000-0100-000002000000}"/>
    <hyperlink ref="P35" r:id="rId4" display="http://var.astro.cz/oejv/issues/oejv0137.pdf" xr:uid="{00000000-0004-0000-0100-000003000000}"/>
    <hyperlink ref="P36" r:id="rId5" display="http://var.astro.cz/oejv/issues/oejv0137.pdf" xr:uid="{00000000-0004-0000-0100-000004000000}"/>
    <hyperlink ref="P37" r:id="rId6" display="http://var.astro.cz/oejv/issues/oejv0137.pdf" xr:uid="{00000000-0004-0000-0100-000005000000}"/>
    <hyperlink ref="P38" r:id="rId7" display="http://var.astro.cz/oejv/issues/oejv0137.pdf" xr:uid="{00000000-0004-0000-0100-000006000000}"/>
    <hyperlink ref="P13" r:id="rId8" display="http://www.konkoly.hu/cgi-bin/IBVS?6029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2024-03-04T05:50:50Z</dcterms:modified>
</cp:coreProperties>
</file>