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38E4BEE-A90F-46DF-801B-2F570AB22C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C7" i="1"/>
  <c r="B2" i="1"/>
  <c r="A1" i="1"/>
  <c r="C9" i="1"/>
  <c r="D9" i="1"/>
  <c r="D8" i="1"/>
  <c r="F16" i="1"/>
  <c r="F17" i="1" s="1"/>
  <c r="C17" i="1"/>
  <c r="Q21" i="1"/>
  <c r="G22" i="1"/>
  <c r="K22" i="1"/>
  <c r="E21" i="1"/>
  <c r="F21" i="1"/>
  <c r="G21" i="1"/>
  <c r="I21" i="1"/>
  <c r="C11" i="1"/>
  <c r="C12" i="1"/>
  <c r="C16" i="1" l="1"/>
  <c r="D18" i="1" s="1"/>
  <c r="C15" i="1"/>
  <c r="O22" i="1"/>
  <c r="O21" i="1"/>
  <c r="C18" i="1" l="1"/>
  <c r="F18" i="1"/>
  <c r="F19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<sst xmlns="http://schemas.openxmlformats.org/spreadsheetml/2006/main" count="54" uniqueCount="50">
  <si>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</si>
  <si>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</si>
  <si>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</si>
  <si>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</si>
  <si>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</si>
  <si>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</si>
  <si>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</si>
  <si>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</si>
  <si>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</si>
  <si>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</si>
  <si>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</si>
  <si>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</si>
  <si>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</si>
  <si>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</si>
  <si>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</si>
  <si>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</si>
  <si>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</si>
  <si>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</si>
  <si>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</si>
  <si>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</si>
  <si>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</si>
  <si>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</si>
  <si>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</si>
  <si>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</si>
  <si>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</si>
  <si>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</si>
  <si>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</si>
  <si>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</si>
  <si>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</si>
  <si>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</si>
  <si>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</si>
  <si>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</si>
  <si>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</si>
  <si>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</si>
  <si>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</si>
  <si>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</si>
  <si>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</si>
  <si>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</si>
  <si>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</si>
  <si>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</si>
  <si>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</si>
  <si>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</si>
  <si>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V0405 Pup</t>
  </si>
  <si>
    <t>G5424-2342</t>
  </si>
  <si>
    <t>EB</t>
  </si>
  <si>
    <t>pr_7</t>
  </si>
  <si>
    <t>A0V</t>
  </si>
  <si>
    <t>Pribulla 2003</t>
  </si>
  <si>
    <t>I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</si>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</sst>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Pup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6F-4A13-B38C-8EDD05C15B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6F-4A13-B38C-8EDD05C15B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6F-4A13-B38C-8EDD05C15B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0.12896000000182539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6F-4A13-B38C-8EDD05C15B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6F-4A13-B38C-8EDD05C15B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6F-4A13-B38C-8EDD05C15B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6F-4A13-B38C-8EDD05C15B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0.12896000000182539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6F-4A13-B38C-8EDD05C15BF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6F-4A13-B38C-8EDD05C15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321360"/>
        <c:axId val="1"/>
      </c:scatterChart>
      <c:valAx>
        <c:axId val="95632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321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3A75A3-C2EC-21F7-5EC5-10E639C65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5" customFormat="1" ht="20.25" x14ac:dyDescent="0.2">
      <c r="A1" s="14" t="str">
        <f>F1&amp;" / GSC "&amp;RIGHT(I1,9)</f>
        <v>V0405 Pup / GSC 5424-2342</v>
      </c>
      <c r="F1" s="8" t="s">
        <v>42</v>
      </c>
      <c r="G1" s="3">
        <v>2010</v>
      </c>
      <c r="H1" s="4"/>
      <c r="I1" s="9" t="s">
        <v>43</v>
      </c>
      <c r="J1" s="10" t="s">
        <v>42</v>
      </c>
      <c r="K1" s="11">
        <v>7.5714800000000002</v>
      </c>
      <c r="L1" s="6">
        <v>-14.310700000000001</v>
      </c>
      <c r="M1" s="7">
        <v>48500.046999999999</v>
      </c>
      <c r="N1" s="7">
        <v>1.56711</v>
      </c>
      <c r="O1" s="5" t="s">
        <v>44</v>
      </c>
      <c r="P1" s="12">
        <v>8.7200000000000006</v>
      </c>
      <c r="Q1" s="12">
        <v>8.92</v>
      </c>
      <c r="R1" s="13" t="s">
        <v>45</v>
      </c>
      <c r="S1" s="5" t="s">
        <v>46</v>
      </c>
    </row>
    <row r="2" spans="1:19" s="15" customFormat="1" ht="12.95" customHeight="1" x14ac:dyDescent="0.2">
      <c r="A2" s="15" t="s">
        <v>23</v>
      </c>
      <c r="B2" s="15" t="str">
        <f>O1</f>
        <v>EB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45">
        <f>M1</f>
        <v>48500.046999999999</v>
      </c>
      <c r="D7" s="5" t="s">
        <v>47</v>
      </c>
    </row>
    <row r="8" spans="1:19" s="15" customFormat="1" ht="12.95" customHeight="1" x14ac:dyDescent="0.2">
      <c r="A8" s="15" t="s">
        <v>3</v>
      </c>
      <c r="C8" s="45">
        <f>N1</f>
        <v>1.56711</v>
      </c>
      <c r="D8" s="24" t="str">
        <f>D7</f>
        <v>Pribulla 2003</v>
      </c>
    </row>
    <row r="9" spans="1:19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19</v>
      </c>
      <c r="D10" s="29" t="s">
        <v>20</v>
      </c>
    </row>
    <row r="11" spans="1:19" s="15" customFormat="1" ht="12.95" customHeight="1" x14ac:dyDescent="0.2">
      <c r="A11" s="15" t="s">
        <v>15</v>
      </c>
      <c r="C11" s="28">
        <f ca="1">INTERCEPT(INDIRECT($D$9):G992,INDIRECT($C$9):F992)</f>
        <v>0</v>
      </c>
      <c r="D11" s="17"/>
    </row>
    <row r="12" spans="1:19" s="15" customFormat="1" ht="12.95" customHeight="1" x14ac:dyDescent="0.2">
      <c r="A12" s="15" t="s">
        <v>16</v>
      </c>
      <c r="C12" s="28">
        <f ca="1">SLOPE(INDIRECT($D$9):G992,INDIRECT($C$9):F992)</f>
        <v>2.1623071764222904E-5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0" t="s">
        <v>17</v>
      </c>
      <c r="C15" s="31">
        <f ca="1">(C7+C11)+(C8+C12)*INT(MAX(F21:F3533))</f>
        <v>57846.42</v>
      </c>
      <c r="E15" s="32" t="s">
        <v>34</v>
      </c>
      <c r="F15" s="26">
        <v>1</v>
      </c>
    </row>
    <row r="16" spans="1:19" s="15" customFormat="1" ht="12.95" customHeight="1" x14ac:dyDescent="0.2">
      <c r="A16" s="18" t="s">
        <v>4</v>
      </c>
      <c r="C16" s="33">
        <f ca="1">+C8+C12</f>
        <v>1.5671316230717642</v>
      </c>
      <c r="E16" s="32" t="s">
        <v>30</v>
      </c>
      <c r="F16" s="33">
        <f ca="1">NOW()+15018.5+$C$5/24</f>
        <v>60373.805193865737</v>
      </c>
    </row>
    <row r="17" spans="1:21" s="15" customFormat="1" ht="12.95" customHeight="1" thickBot="1" x14ac:dyDescent="0.25">
      <c r="A17" s="32" t="s">
        <v>27</v>
      </c>
      <c r="C17" s="15">
        <f>COUNT(C21:C2191)</f>
        <v>2</v>
      </c>
      <c r="E17" s="32" t="s">
        <v>35</v>
      </c>
      <c r="F17" s="34">
        <f ca="1">ROUND(2*(F16-$C$7)/$C$8,0)/2+F15</f>
        <v>7578</v>
      </c>
    </row>
    <row r="18" spans="1:21" s="15" customFormat="1" ht="12.95" customHeight="1" thickTop="1" thickBot="1" x14ac:dyDescent="0.25">
      <c r="A18" s="18" t="s">
        <v>5</v>
      </c>
      <c r="C18" s="35">
        <f ca="1">+C15</f>
        <v>57846.42</v>
      </c>
      <c r="D18" s="36">
        <f ca="1">+C16</f>
        <v>1.5671316230717642</v>
      </c>
      <c r="E18" s="32" t="s">
        <v>36</v>
      </c>
      <c r="F18" s="28">
        <f ca="1">ROUND(2*(F16-$C$15)/$C$16,0)/2+F15</f>
        <v>1613.5</v>
      </c>
    </row>
    <row r="19" spans="1:21" s="15" customFormat="1" ht="12.95" customHeight="1" thickTop="1" x14ac:dyDescent="0.2">
      <c r="E19" s="32" t="s">
        <v>31</v>
      </c>
      <c r="F19" s="37">
        <f ca="1">+$C$15+$C$16*F18-15018.5-$C$5/24</f>
        <v>45356.882707159624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9" t="s">
        <v>14</v>
      </c>
      <c r="U20" s="40" t="s">
        <v>33</v>
      </c>
    </row>
    <row r="21" spans="1:21" s="15" customFormat="1" ht="12.95" customHeight="1" x14ac:dyDescent="0.2">
      <c r="A21" s="15" t="s">
        <v>47</v>
      </c>
      <c r="C21" s="23">
        <v>48500.046999999999</v>
      </c>
      <c r="D21" s="23" t="s">
        <v>13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0</v>
      </c>
      <c r="Q21" s="41">
        <f>+C21-15018.5</f>
        <v>33481.546999999999</v>
      </c>
    </row>
    <row r="22" spans="1:21" s="15" customFormat="1" ht="12.95" customHeight="1" x14ac:dyDescent="0.2">
      <c r="A22" s="42" t="s">
        <v>49</v>
      </c>
      <c r="B22" s="43" t="s">
        <v>48</v>
      </c>
      <c r="C22" s="44">
        <v>57846.42</v>
      </c>
      <c r="D22" s="44">
        <v>0.01</v>
      </c>
      <c r="E22" s="15">
        <f>+(C22-C$7)/C$8</f>
        <v>5964.0822916068428</v>
      </c>
      <c r="F22" s="15">
        <f>ROUND(2*E22,0)/2</f>
        <v>5964</v>
      </c>
      <c r="G22" s="15">
        <f>+C22-(C$7+F22*C$8)</f>
        <v>0.12896000000182539</v>
      </c>
      <c r="K22" s="15">
        <f>+G22</f>
        <v>0.12896000000182539</v>
      </c>
      <c r="O22" s="15">
        <f ca="1">+C$11+C$12*$F22</f>
        <v>0.12896000000182539</v>
      </c>
      <c r="Q22" s="41">
        <f>+C22-15018.5</f>
        <v>42827.92</v>
      </c>
    </row>
    <row r="23" spans="1:21" ht="12.95" customHeight="1" x14ac:dyDescent="0.2">
      <c r="C23" s="2"/>
      <c r="D23" s="2"/>
      <c r="Q23" s="1"/>
    </row>
    <row r="24" spans="1:21" ht="12.95" customHeight="1" x14ac:dyDescent="0.2">
      <c r="C24" s="2"/>
      <c r="D24" s="2"/>
      <c r="Q24" s="1"/>
    </row>
    <row r="25" spans="1:21" ht="12.95" customHeight="1" x14ac:dyDescent="0.2">
      <c r="C25" s="2"/>
      <c r="D25" s="2"/>
      <c r="Q25" s="1"/>
    </row>
    <row r="26" spans="1:21" ht="12.95" customHeight="1" x14ac:dyDescent="0.2">
      <c r="C26" s="2"/>
      <c r="D26" s="2"/>
      <c r="Q26" s="1"/>
    </row>
    <row r="27" spans="1:21" ht="12.95" customHeight="1" x14ac:dyDescent="0.2">
      <c r="C27" s="2"/>
      <c r="D27" s="2"/>
      <c r="Q27" s="1"/>
    </row>
    <row r="28" spans="1:21" ht="12.95" customHeight="1" x14ac:dyDescent="0.2">
      <c r="C28" s="2"/>
      <c r="D28" s="2"/>
      <c r="Q28" s="1"/>
    </row>
    <row r="29" spans="1:21" ht="12.95" customHeight="1" x14ac:dyDescent="0.2">
      <c r="C29" s="2"/>
      <c r="D29" s="2"/>
      <c r="Q29" s="1"/>
    </row>
    <row r="30" spans="1:21" ht="12.95" customHeight="1" x14ac:dyDescent="0.2">
      <c r="C30" s="2"/>
      <c r="D30" s="2"/>
      <c r="Q30" s="1"/>
    </row>
    <row r="31" spans="1:21" ht="12.95" customHeight="1" x14ac:dyDescent="0.2">
      <c r="C31" s="2"/>
      <c r="D31" s="2"/>
      <c r="Q31" s="1"/>
    </row>
    <row r="32" spans="1:21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ht="12.95" customHeight="1" x14ac:dyDescent="0.2">
      <c r="C35" s="2"/>
      <c r="D35" s="2"/>
    </row>
    <row r="36" spans="3:17" ht="12.95" customHeight="1" x14ac:dyDescent="0.2">
      <c r="C36" s="2"/>
      <c r="D36" s="2"/>
    </row>
    <row r="37" spans="3:17" ht="12.95" customHeight="1" x14ac:dyDescent="0.2">
      <c r="C37" s="2"/>
      <c r="D37" s="2"/>
    </row>
    <row r="38" spans="3:17" ht="12.95" customHeight="1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2024-03-04T06:19:28Z</dcterms:modified>
</cp:coreProperties>
</file>