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F53E534-802B-4761-9604-32A43CF467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3" i="1" l="1"/>
  <c r="O22" i="1"/>
  <c r="O24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<sst xmlns="http://schemas.openxmlformats.org/spreadsheetml/2006/main" count="58" uniqueCount="52">
  <si>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</si>
  <si>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</si>
  <si>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</si>
  <si>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</si>
  <si>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</si>
  <si>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</si>
  <si>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</si>
  <si>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</si>
  <si>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</si>
  <si>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</si>
  <si>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</si>
  <si>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</si>
  <si>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</si>
  <si>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</si>
  <si>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</si>
  <si>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</si>
  <si>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</si>
  <si>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</si>
  <si>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</si>
  <si>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</si>
  <si>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</si>
  <si>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</si>
  <si>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</si>
  <si>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</si>
  <si>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</si>
  <si>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</si>
  <si>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</si>
  <si>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</si>
  <si>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</si>
  <si>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</si>
  <si>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</si>
  <si>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</si>
  <si>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</si>
  <si>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</si>
  <si>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</si>
  <si>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</si>
  <si>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</si>
  <si>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</si>
  <si>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</si>
  <si>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</si>
  <si>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</si>
  <si>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</si>
  <si>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</si>
  <si>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</si>
  <si>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V0740 Pup</t>
  </si>
  <si>
    <t>EW</t>
  </si>
  <si>
    <t>VSX</t>
  </si>
  <si>
    <t>VSB, 91</t>
  </si>
  <si>
    <t>I</t>
  </si>
  <si>
    <t>Ha</t>
  </si>
  <si>
    <t>Ic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</si>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</sst>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V0740</a:t>
            </a:r>
            <a:r>
              <a:rPr lang="en-AU" baseline="0"/>
              <a:t> Pup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2.597200010495726E-2</c:v>
                </c:pt>
                <c:pt idx="2">
                  <c:v>2.7971999967121519E-2</c:v>
                </c:pt>
                <c:pt idx="3">
                  <c:v>2.8972000131034292E-2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2.7638666734371025E-2</c:v>
                </c:pt>
                <c:pt idx="2">
                  <c:v>2.7638666734371025E-2</c:v>
                </c:pt>
                <c:pt idx="3">
                  <c:v>2.7638666734371025E-2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6" t="s">
        <v>42</v>
      </c>
      <c r="G1" s="7"/>
      <c r="H1" s="4"/>
      <c r="I1" s="8"/>
      <c r="J1" s="9"/>
      <c r="K1" s="5"/>
      <c r="L1" s="10"/>
      <c r="M1" s="11"/>
      <c r="N1" s="11"/>
      <c r="O1" s="12"/>
    </row>
    <row r="2" spans="1:15" s="15" customFormat="1" ht="12.95" customHeight="1" x14ac:dyDescent="0.2">
      <c r="A2" s="15" t="s">
        <v>23</v>
      </c>
      <c r="B2" s="15" t="s">
        <v>45</v>
      </c>
      <c r="C2" s="16"/>
      <c r="D2" s="17"/>
    </row>
    <row r="3" spans="1:15" s="15" customFormat="1" ht="12.95" customHeight="1" thickBot="1" x14ac:dyDescent="0.25"/>
    <row r="4" spans="1:15" s="15" customFormat="1" ht="12.95" customHeight="1" thickTop="1" thickBot="1" x14ac:dyDescent="0.25">
      <c r="A4" s="18" t="s">
        <v>0</v>
      </c>
      <c r="C4" s="19" t="s">
        <v>37</v>
      </c>
      <c r="D4" s="20" t="s">
        <v>37</v>
      </c>
    </row>
    <row r="5" spans="1:15" s="15" customFormat="1" ht="12.95" customHeight="1" thickTop="1" x14ac:dyDescent="0.2">
      <c r="A5" s="21" t="s">
        <v>28</v>
      </c>
      <c r="C5" s="22">
        <v>-9.5</v>
      </c>
      <c r="D5" s="15" t="s">
        <v>29</v>
      </c>
    </row>
    <row r="6" spans="1:15" s="15" customFormat="1" ht="12.95" customHeight="1" x14ac:dyDescent="0.2">
      <c r="A6" s="18" t="s">
        <v>1</v>
      </c>
    </row>
    <row r="7" spans="1:15" s="15" customFormat="1" ht="12.95" customHeight="1" x14ac:dyDescent="0.2">
      <c r="A7" s="15" t="s">
        <v>2</v>
      </c>
      <c r="C7" s="45">
        <v>54606.502999999997</v>
      </c>
      <c r="D7" s="24" t="s">
        <v>46</v>
      </c>
    </row>
    <row r="8" spans="1:15" s="15" customFormat="1" ht="12.95" customHeight="1" x14ac:dyDescent="0.2">
      <c r="A8" s="15" t="s">
        <v>3</v>
      </c>
      <c r="C8" s="45">
        <v>0.31120799999999998</v>
      </c>
      <c r="D8" s="24" t="s">
        <v>46</v>
      </c>
    </row>
    <row r="9" spans="1:15" s="15" customFormat="1" ht="12.95" customHeight="1" x14ac:dyDescent="0.2">
      <c r="A9" s="25" t="s">
        <v>32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5" s="15" customFormat="1" ht="12.95" customHeight="1" thickBot="1" x14ac:dyDescent="0.25">
      <c r="C10" s="29" t="s">
        <v>19</v>
      </c>
      <c r="D10" s="29" t="s">
        <v>20</v>
      </c>
    </row>
    <row r="11" spans="1:15" s="15" customFormat="1" ht="12.95" customHeight="1" x14ac:dyDescent="0.2">
      <c r="A11" s="15" t="s">
        <v>15</v>
      </c>
      <c r="C11" s="28">
        <f ca="1">INTERCEPT(INDIRECT($D$9):G992,INDIRECT($C$9):F992)</f>
        <v>0</v>
      </c>
      <c r="D11" s="17"/>
    </row>
    <row r="12" spans="1:15" s="15" customFormat="1" ht="12.95" customHeight="1" x14ac:dyDescent="0.2">
      <c r="A12" s="15" t="s">
        <v>16</v>
      </c>
      <c r="C12" s="28">
        <f ca="1">SLOPE(INDIRECT($D$9):G992,INDIRECT($C$9):F992)</f>
        <v>1.8452226013533413E-6</v>
      </c>
      <c r="D12" s="17"/>
    </row>
    <row r="13" spans="1:15" s="15" customFormat="1" ht="12.95" customHeight="1" x14ac:dyDescent="0.2">
      <c r="A13" s="15" t="s">
        <v>18</v>
      </c>
      <c r="C13" s="17" t="s">
        <v>13</v>
      </c>
    </row>
    <row r="14" spans="1:15" s="15" customFormat="1" ht="12.95" customHeight="1" x14ac:dyDescent="0.2">
      <c r="E14" s="30" t="s">
        <v>34</v>
      </c>
      <c r="F14" s="31">
        <v>1</v>
      </c>
    </row>
    <row r="15" spans="1:15" s="15" customFormat="1" ht="12.95" customHeight="1" x14ac:dyDescent="0.2">
      <c r="A15" s="32" t="s">
        <v>17</v>
      </c>
      <c r="C15" s="33">
        <f ca="1">(C7+C11)+(C8+C12)*INT(MAX(F21:F3533))</f>
        <v>59267.804061744122</v>
      </c>
      <c r="E15" s="30" t="s">
        <v>30</v>
      </c>
      <c r="F15" s="34">
        <f ca="1">NOW()+15018.5+$C$5/24</f>
        <v>60373.823591319444</v>
      </c>
    </row>
    <row r="16" spans="1:15" s="15" customFormat="1" ht="12.95" customHeight="1" x14ac:dyDescent="0.2">
      <c r="A16" s="18" t="s">
        <v>4</v>
      </c>
      <c r="C16" s="34">
        <f ca="1">+C8+C12</f>
        <v>0.31120984522260131</v>
      </c>
      <c r="E16" s="30" t="s">
        <v>35</v>
      </c>
      <c r="F16" s="35">
        <f ca="1">ROUND(2*(F15-$C$7)/$C$8,0)/2+F14</f>
        <v>18533</v>
      </c>
    </row>
    <row r="17" spans="1:21" s="15" customFormat="1" ht="12.95" customHeight="1" thickBot="1" x14ac:dyDescent="0.25">
      <c r="A17" s="30" t="s">
        <v>27</v>
      </c>
      <c r="C17" s="15">
        <f>COUNT(C21:C2191)</f>
        <v>4</v>
      </c>
      <c r="E17" s="30" t="s">
        <v>36</v>
      </c>
      <c r="F17" s="28">
        <f ca="1">ROUND(2*(F15-$C$15)/$C$16,0)/2+F14</f>
        <v>3555</v>
      </c>
    </row>
    <row r="18" spans="1:21" s="15" customFormat="1" ht="12.95" customHeight="1" thickTop="1" thickBot="1" x14ac:dyDescent="0.25">
      <c r="A18" s="18" t="s">
        <v>5</v>
      </c>
      <c r="C18" s="36">
        <f ca="1">+C15</f>
        <v>59267.804061744122</v>
      </c>
      <c r="D18" s="37">
        <f ca="1">+C16</f>
        <v>0.31120984522260131</v>
      </c>
      <c r="E18" s="30" t="s">
        <v>31</v>
      </c>
      <c r="F18" s="38">
        <f ca="1">+$C$15+$C$16*F17-15018.5-$C$5/24</f>
        <v>45356.050894843807</v>
      </c>
    </row>
    <row r="19" spans="1:21" s="15" customFormat="1" ht="12.95" customHeight="1" thickTop="1" x14ac:dyDescent="0.2">
      <c r="F19" s="39" t="s">
        <v>43</v>
      </c>
    </row>
    <row r="20" spans="1:21" s="15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40" t="s">
        <v>38</v>
      </c>
      <c r="I20" s="40" t="s">
        <v>39</v>
      </c>
      <c r="J20" s="40" t="s">
        <v>40</v>
      </c>
      <c r="K20" s="40" t="s">
        <v>41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29" t="s">
        <v>14</v>
      </c>
      <c r="U20" s="42" t="s">
        <v>33</v>
      </c>
    </row>
    <row r="21" spans="1:21" s="15" customFormat="1" ht="12.95" customHeight="1" x14ac:dyDescent="0.2">
      <c r="A21" s="15" t="str">
        <f>$D$7</f>
        <v>VSX</v>
      </c>
      <c r="C21" s="23">
        <f>$C$7</f>
        <v>54606.502999999997</v>
      </c>
      <c r="D21" s="23"/>
      <c r="E21" s="15">
        <f>+(C21-C$7)/C$8</f>
        <v>0</v>
      </c>
      <c r="F21" s="15">
        <f>ROUND(2*E21,0)/2</f>
        <v>0</v>
      </c>
      <c r="G21" s="15">
        <f>+C21-(C$7+F21*C$8)</f>
        <v>0</v>
      </c>
      <c r="K21" s="15">
        <f>+G21</f>
        <v>0</v>
      </c>
      <c r="O21" s="15">
        <f ca="1">+C$11+C$12*$F21</f>
        <v>0</v>
      </c>
      <c r="Q21" s="43">
        <f>+C21-15018.5</f>
        <v>39588.002999999997</v>
      </c>
    </row>
    <row r="22" spans="1:21" s="15" customFormat="1" ht="12.95" customHeight="1" x14ac:dyDescent="0.2">
      <c r="A22" s="13" t="s">
        <v>47</v>
      </c>
      <c r="B22" s="14" t="s">
        <v>48</v>
      </c>
      <c r="C22" s="46">
        <v>59267.958000000101</v>
      </c>
      <c r="D22" s="47" t="s">
        <v>49</v>
      </c>
      <c r="E22" s="15">
        <f t="shared" ref="E22:E24" si="0">+(C22-C$7)/C$8</f>
        <v>14978.583455438496</v>
      </c>
      <c r="F22" s="15">
        <f t="shared" ref="F22:F24" si="1">ROUND(2*E22,0)/2</f>
        <v>14978.5</v>
      </c>
      <c r="G22" s="15">
        <f t="shared" ref="G22:G24" si="2">+C22-(C$7+F22*C$8)</f>
        <v>2.597200010495726E-2</v>
      </c>
      <c r="K22" s="15">
        <f t="shared" ref="K22:K24" si="3">+G22</f>
        <v>2.597200010495726E-2</v>
      </c>
      <c r="O22" s="15">
        <f t="shared" ref="O22:O24" ca="1" si="4">+C$11+C$12*$F22</f>
        <v>2.7638666734371025E-2</v>
      </c>
      <c r="Q22" s="43">
        <f t="shared" ref="Q22:Q24" si="5">+C22-15018.5</f>
        <v>44249.458000000101</v>
      </c>
    </row>
    <row r="23" spans="1:21" s="15" customFormat="1" ht="12.95" customHeight="1" x14ac:dyDescent="0.2">
      <c r="A23" s="13" t="s">
        <v>47</v>
      </c>
      <c r="B23" s="14" t="s">
        <v>48</v>
      </c>
      <c r="C23" s="46">
        <v>59267.959999999963</v>
      </c>
      <c r="D23" s="47" t="s">
        <v>50</v>
      </c>
      <c r="E23" s="15">
        <f t="shared" si="0"/>
        <v>14978.589882008066</v>
      </c>
      <c r="F23" s="15">
        <f t="shared" si="1"/>
        <v>14978.5</v>
      </c>
      <c r="G23" s="15">
        <f t="shared" si="2"/>
        <v>2.7971999967121519E-2</v>
      </c>
      <c r="K23" s="15">
        <f t="shared" si="3"/>
        <v>2.7971999967121519E-2</v>
      </c>
      <c r="O23" s="15">
        <f t="shared" ca="1" si="4"/>
        <v>2.7638666734371025E-2</v>
      </c>
      <c r="Q23" s="43">
        <f t="shared" si="5"/>
        <v>44249.459999999963</v>
      </c>
    </row>
    <row r="24" spans="1:21" s="15" customFormat="1" ht="12.95" customHeight="1" x14ac:dyDescent="0.2">
      <c r="A24" s="13" t="s">
        <v>47</v>
      </c>
      <c r="B24" s="14" t="s">
        <v>48</v>
      </c>
      <c r="C24" s="46">
        <v>59267.961000000127</v>
      </c>
      <c r="D24" s="47" t="s">
        <v>51</v>
      </c>
      <c r="E24" s="15">
        <f t="shared" si="0"/>
        <v>14978.593095293598</v>
      </c>
      <c r="F24" s="15">
        <f t="shared" si="1"/>
        <v>14978.5</v>
      </c>
      <c r="G24" s="15">
        <f t="shared" si="2"/>
        <v>2.8972000131034292E-2</v>
      </c>
      <c r="K24" s="15">
        <f t="shared" si="3"/>
        <v>2.8972000131034292E-2</v>
      </c>
      <c r="O24" s="15">
        <f t="shared" ca="1" si="4"/>
        <v>2.7638666734371025E-2</v>
      </c>
      <c r="Q24" s="43">
        <f t="shared" si="5"/>
        <v>44249.461000000127</v>
      </c>
    </row>
    <row r="25" spans="1:21" s="15" customFormat="1" ht="12.95" customHeight="1" x14ac:dyDescent="0.2">
      <c r="C25" s="23"/>
      <c r="D25" s="23"/>
      <c r="Q25" s="44"/>
    </row>
    <row r="26" spans="1:21" s="15" customFormat="1" ht="12.95" customHeight="1" x14ac:dyDescent="0.2">
      <c r="C26" s="23"/>
      <c r="D26" s="23"/>
      <c r="Q26" s="44"/>
    </row>
    <row r="27" spans="1:21" s="15" customFormat="1" ht="12.95" customHeight="1" x14ac:dyDescent="0.2">
      <c r="C27" s="23"/>
      <c r="D27" s="23"/>
      <c r="Q27" s="44"/>
    </row>
    <row r="28" spans="1:21" s="15" customFormat="1" ht="12.95" customHeight="1" x14ac:dyDescent="0.2">
      <c r="C28" s="23"/>
      <c r="D28" s="23"/>
      <c r="Q28" s="44"/>
    </row>
    <row r="29" spans="1:21" s="15" customFormat="1" ht="12.95" customHeight="1" x14ac:dyDescent="0.2">
      <c r="C29" s="23"/>
      <c r="D29" s="23"/>
      <c r="Q29" s="44"/>
    </row>
    <row r="30" spans="1:21" s="15" customFormat="1" ht="12.95" customHeight="1" x14ac:dyDescent="0.2">
      <c r="C30" s="23"/>
      <c r="D30" s="23"/>
      <c r="Q30" s="44"/>
    </row>
    <row r="31" spans="1:21" x14ac:dyDescent="0.2">
      <c r="C31" s="3"/>
      <c r="D31" s="3"/>
      <c r="Q31" s="2"/>
    </row>
    <row r="32" spans="1:21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2024-03-04T06:45:58Z</dcterms:modified>
</cp:coreProperties>
</file>