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9324A5C-44AC-4078-8CDA-9007214834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3" i="1"/>
  <c r="F33" i="1"/>
  <c r="G33" i="1"/>
  <c r="K33" i="1"/>
  <c r="E26" i="1"/>
  <c r="F26" i="1"/>
  <c r="G26" i="1"/>
  <c r="H26" i="1"/>
  <c r="E27" i="1"/>
  <c r="F27" i="1"/>
  <c r="G27" i="1"/>
  <c r="J27" i="1"/>
  <c r="E32" i="1"/>
  <c r="F32" i="1"/>
  <c r="G32" i="1"/>
  <c r="J32" i="1"/>
  <c r="E34" i="1"/>
  <c r="F34" i="1"/>
  <c r="G34" i="1"/>
  <c r="J34" i="1"/>
  <c r="E35" i="1"/>
  <c r="F35" i="1"/>
  <c r="G35" i="1"/>
  <c r="J35" i="1"/>
  <c r="E36" i="1"/>
  <c r="F36" i="1"/>
  <c r="G36" i="1"/>
  <c r="J36" i="1"/>
  <c r="E37" i="1"/>
  <c r="F37" i="1"/>
  <c r="G37" i="1"/>
  <c r="J37" i="1"/>
  <c r="E38" i="1"/>
  <c r="F38" i="1"/>
  <c r="G38" i="1"/>
  <c r="J38" i="1"/>
  <c r="D9" i="1"/>
  <c r="C9" i="1"/>
  <c r="Q21" i="1"/>
  <c r="Q22" i="1"/>
  <c r="Q23" i="1"/>
  <c r="Q24" i="1"/>
  <c r="Q25" i="1"/>
  <c r="Q28" i="1"/>
  <c r="Q29" i="1"/>
  <c r="Q30" i="1"/>
  <c r="Q31" i="1"/>
  <c r="Q33" i="1"/>
  <c r="G22" i="3"/>
  <c r="C22" i="3"/>
  <c r="E22" i="3"/>
  <c r="G12" i="3"/>
  <c r="C12" i="3"/>
  <c r="E12" i="3"/>
  <c r="G21" i="3"/>
  <c r="C21" i="3"/>
  <c r="E21" i="3"/>
  <c r="G20" i="3"/>
  <c r="C20" i="3"/>
  <c r="E20" i="3"/>
  <c r="G19" i="3"/>
  <c r="C19" i="3"/>
  <c r="E19" i="3"/>
  <c r="G18" i="3"/>
  <c r="C18" i="3"/>
  <c r="E18" i="3"/>
  <c r="G11" i="3"/>
  <c r="C11" i="3"/>
  <c r="E11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H22" i="3"/>
  <c r="D22" i="3"/>
  <c r="B22" i="3"/>
  <c r="A22" i="3"/>
  <c r="H12" i="3"/>
  <c r="D12" i="3"/>
  <c r="B12" i="3"/>
  <c r="A1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1" i="3"/>
  <c r="D11" i="3"/>
  <c r="B11" i="3"/>
  <c r="A11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F11" i="2"/>
  <c r="E21" i="2"/>
  <c r="F21" i="2"/>
  <c r="G21" i="2"/>
  <c r="H21" i="2"/>
  <c r="E22" i="2"/>
  <c r="F22" i="2"/>
  <c r="G22" i="2"/>
  <c r="J22" i="2"/>
  <c r="E23" i="2"/>
  <c r="F23" i="2"/>
  <c r="G23" i="2"/>
  <c r="I23" i="2"/>
  <c r="E24" i="2"/>
  <c r="F24" i="2"/>
  <c r="G24" i="2"/>
  <c r="J24" i="2"/>
  <c r="E25" i="2"/>
  <c r="F25" i="2"/>
  <c r="G25" i="2"/>
  <c r="J25" i="2"/>
  <c r="E26" i="2"/>
  <c r="F26" i="2"/>
  <c r="G26" i="2"/>
  <c r="J26" i="2"/>
  <c r="E27" i="2"/>
  <c r="F27" i="2"/>
  <c r="G27" i="2"/>
  <c r="J27" i="2"/>
  <c r="E28" i="2"/>
  <c r="F28" i="2"/>
  <c r="G28" i="2"/>
  <c r="J28" i="2"/>
  <c r="G11" i="2"/>
  <c r="E14" i="2"/>
  <c r="E15" i="2" s="1"/>
  <c r="C17" i="2"/>
  <c r="Q21" i="2"/>
  <c r="Q22" i="2"/>
  <c r="Q23" i="2"/>
  <c r="Q24" i="2"/>
  <c r="Q25" i="2"/>
  <c r="Q26" i="2"/>
  <c r="Q27" i="2"/>
  <c r="Q28" i="2"/>
  <c r="Q34" i="1"/>
  <c r="Q35" i="1"/>
  <c r="Q36" i="1"/>
  <c r="Q37" i="1"/>
  <c r="Q38" i="1"/>
  <c r="Q27" i="1"/>
  <c r="Q32" i="1"/>
  <c r="F16" i="1"/>
  <c r="F17" i="1" s="1"/>
  <c r="C17" i="1"/>
  <c r="Q26" i="1"/>
  <c r="C11" i="1"/>
  <c r="C12" i="2"/>
  <c r="C12" i="1"/>
  <c r="C11" i="2"/>
  <c r="O27" i="2" l="1"/>
  <c r="O22" i="2"/>
  <c r="O23" i="2"/>
  <c r="O25" i="2"/>
  <c r="C15" i="2"/>
  <c r="O28" i="2"/>
  <c r="O21" i="2"/>
  <c r="O26" i="2"/>
  <c r="O24" i="2"/>
  <c r="C16" i="1"/>
  <c r="D18" i="1" s="1"/>
  <c r="C16" i="2"/>
  <c r="D18" i="2" s="1"/>
  <c r="O37" i="1"/>
  <c r="O29" i="1"/>
  <c r="O28" i="1"/>
  <c r="O36" i="1"/>
  <c r="O27" i="1"/>
  <c r="O34" i="1"/>
  <c r="O21" i="1"/>
  <c r="O24" i="1"/>
  <c r="O26" i="1"/>
  <c r="O38" i="1"/>
  <c r="O30" i="1"/>
  <c r="O35" i="1"/>
  <c r="C15" i="1"/>
  <c r="O25" i="1"/>
  <c r="O33" i="1"/>
  <c r="O32" i="1"/>
  <c r="O22" i="1"/>
  <c r="O31" i="1"/>
  <c r="O23" i="1"/>
  <c r="C18" i="1" l="1"/>
  <c r="F18" i="1"/>
  <c r="F19" i="1" s="1"/>
  <c r="E16" i="2"/>
  <c r="E17" i="2" s="1"/>
  <c r="C18" i="2"/>
</calcChain>
</file>

<file path=xl/sharedStrings.xml><?xml version="1.0" encoding="utf-8"?>
<sst xmlns="http://schemas.openxmlformats.org/spreadsheetml/2006/main" count="251" uniqueCount="116">
  <si>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</si>
  <si>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</si>
  <si>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</si>
  <si>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</si>
  <si>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</si>
  <si>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</si>
  <si>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</si>
  <si>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</si>
  <si>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</si>
  <si>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</si>
  <si>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</si>
  <si>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</si>
  <si>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</si>
  <si>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</si>
  <si>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</si>
  <si>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</si>
  <si>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</si>
  <si>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</si>
  <si>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</si>
  <si>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</si>
  <si>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</si>
  <si>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</si>
  <si>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</si>
  <si>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</si>
  <si>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</si>
  <si>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</si>
  <si>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</si>
  <si>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</si>
  <si>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</si>
  <si>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</si>
  <si>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</si>
  <si>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</si>
  <si>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</si>
  <si>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</si>
  <si>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</si>
  <si>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</si>
  <si>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</si>
  <si>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</si>
  <si>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</si>
  <si>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VY Pup / GSC 5405-2691</t>
  </si>
  <si>
    <t>EB/DW</t>
  </si>
  <si>
    <t>not avail.</t>
  </si>
  <si>
    <t>IBVS 6029</t>
  </si>
  <si>
    <t>II</t>
  </si>
  <si>
    <t>Kreiner</t>
  </si>
  <si>
    <t>2013JAVSO..41..122</t>
  </si>
  <si>
    <t>I</t>
  </si>
  <si>
    <t>IBVS</t>
  </si>
  <si>
    <t>OEJV</t>
  </si>
  <si>
    <t>OEJV 0168</t>
  </si>
  <si>
    <t>also GCVS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</si>
  <si>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</si>
  <si>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</si>
  <si>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</si>
  <si>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</si>
  <si>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</si>
  <si>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</si>
  <si>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</si>
  <si>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</si>
  <si>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</si>
  <si>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</si>
  <si>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</si>
  <si>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</si>
  <si>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2426719.268 </t>
  </si>
  <si>
    <t> 12.01.1932 18:25 </t>
  </si>
  <si>
    <t> -0.002 </t>
  </si>
  <si>
    <t>V </t>
  </si>
  <si>
    <t> N.Florja </t>
  </si>
  <si>
    <t> PSMO 8.2.52 </t>
  </si>
  <si>
    <t>2426990.434 </t>
  </si>
  <si>
    <t> 09.10.1932 22:24 </t>
  </si>
  <si>
    <t> 0.000 </t>
  </si>
  <si>
    <t>2427021.469 </t>
  </si>
  <si>
    <t> 09.11.1932 23:15 </t>
  </si>
  <si>
    <t>2427125.206 </t>
  </si>
  <si>
    <t> 21.02.1933 16:56 </t>
  </si>
  <si>
    <t> 0.007 </t>
  </si>
  <si>
    <t>2427860.282 </t>
  </si>
  <si>
    <t> 26.02.1935 18:46 </t>
  </si>
  <si>
    <t> -0.000 </t>
  </si>
  <si>
    <t>2452608.9009 </t>
  </si>
  <si>
    <t> 30.11.2002 09:37 </t>
  </si>
  <si>
    <t> 0.0041 </t>
  </si>
  <si>
    <t>C </t>
  </si>
  <si>
    <t> S.Dvorak </t>
  </si>
  <si>
    <t> JAAVSO 41;122 </t>
  </si>
  <si>
    <t>2453708.2255 </t>
  </si>
  <si>
    <t> 03.12.2005 17:24 </t>
  </si>
  <si>
    <t> -0.0289 </t>
  </si>
  <si>
    <t>E </t>
  </si>
  <si>
    <t>?</t>
  </si>
  <si>
    <t> Nakajima </t>
  </si>
  <si>
    <t>VSB 44 </t>
  </si>
  <si>
    <t>2453712.3076 </t>
  </si>
  <si>
    <t> 07.12.2005 19:22 </t>
  </si>
  <si>
    <t> -0.0306 </t>
  </si>
  <si>
    <t>2453717.2093 </t>
  </si>
  <si>
    <t> 12.12.2005 17:01 </t>
  </si>
  <si>
    <t> -0.0295 </t>
  </si>
  <si>
    <t>2455567.1113 </t>
  </si>
  <si>
    <t> 05.01.2011 14:40 </t>
  </si>
  <si>
    <t> -0.0866 </t>
  </si>
  <si>
    <t> H.Itoh </t>
  </si>
  <si>
    <t>VSB 53 </t>
  </si>
  <si>
    <t>2455987.7281 </t>
  </si>
  <si>
    <t> 01.03.2012 05:28 </t>
  </si>
  <si>
    <t> -0.1007 </t>
  </si>
  <si>
    <t> R.Diethelm </t>
  </si>
  <si>
    <t>IBVS 6029 </t>
  </si>
  <si>
    <t>2456641.1151 </t>
  </si>
  <si>
    <t> 14.12.2013 14:45 </t>
  </si>
  <si>
    <t> -0.1209 </t>
  </si>
  <si>
    <t>VSB 56 </t>
  </si>
  <si>
    <t>Cycle count is ambiguous</t>
  </si>
  <si>
    <t>vis?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</si>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</sst>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9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1" fillId="3" borderId="0" xfId="0" applyFont="1" applyFill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3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Pup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6-4093-B93F-FD5D2DF9F0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6-4093-B93F-FD5D2DF9F0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3.2075360002636444E-2</c:v>
                </c:pt>
                <c:pt idx="11">
                  <c:v>-6.8901599996024743E-2</c:v>
                </c:pt>
                <c:pt idx="13">
                  <c:v>-9.1107119995285757E-2</c:v>
                </c:pt>
                <c:pt idx="14">
                  <c:v>-7.4176799993438181E-2</c:v>
                </c:pt>
                <c:pt idx="15">
                  <c:v>-6.6936799994437024E-2</c:v>
                </c:pt>
                <c:pt idx="16">
                  <c:v>-6.6676799993729219E-2</c:v>
                </c:pt>
                <c:pt idx="17">
                  <c:v>-6.5366799994080793E-2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6-4093-B93F-FD5D2DF9F0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0.40517424000427127</c:v>
                </c:pt>
                <c:pt idx="1">
                  <c:v>0.40749168000547797</c:v>
                </c:pt>
                <c:pt idx="2">
                  <c:v>0.40568464000534732</c:v>
                </c:pt>
                <c:pt idx="3">
                  <c:v>0.41440848000274855</c:v>
                </c:pt>
                <c:pt idx="4">
                  <c:v>0.40813648000403191</c:v>
                </c:pt>
                <c:pt idx="7">
                  <c:v>2.9968000308144838E-4</c:v>
                </c:pt>
                <c:pt idx="8">
                  <c:v>-1.3907199972891249E-3</c:v>
                </c:pt>
                <c:pt idx="9">
                  <c:v>-2.3919999512145296E-4</c:v>
                </c:pt>
                <c:pt idx="10">
                  <c:v>-5.5290399999648798E-2</c:v>
                </c:pt>
                <c:pt idx="12">
                  <c:v>-8.8365599993267097E-2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6-4093-B93F-FD5D2DF9F0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6-4093-B93F-FD5D2DF9F0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6-4093-B93F-FD5D2DF9F0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6">
                    <c:v>5.0000000000000001E-4</c:v>
                  </c:pt>
                  <c:pt idx="11">
                    <c:v>2.0000000000000001E-4</c:v>
                  </c:pt>
                  <c:pt idx="13">
                    <c:v>4.0000000000000002E-4</c:v>
                  </c:pt>
                  <c:pt idx="14">
                    <c:v>1.2999999999999999E-3</c:v>
                  </c:pt>
                  <c:pt idx="15">
                    <c:v>1E-3</c:v>
                  </c:pt>
                  <c:pt idx="16">
                    <c:v>1.5E-3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6-4093-B93F-FD5D2DF9F0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0.60570570012002267</c:v>
                </c:pt>
                <c:pt idx="1">
                  <c:v>0.5995557659542381</c:v>
                </c:pt>
                <c:pt idx="2">
                  <c:v>0.59885185782682893</c:v>
                </c:pt>
                <c:pt idx="3">
                  <c:v>0.59649932276943551</c:v>
                </c:pt>
                <c:pt idx="4">
                  <c:v>0.57982781448869414</c:v>
                </c:pt>
                <c:pt idx="5">
                  <c:v>2.0989594969199242E-2</c:v>
                </c:pt>
                <c:pt idx="6">
                  <c:v>1.8525916523267464E-2</c:v>
                </c:pt>
                <c:pt idx="7">
                  <c:v>-6.4072503054857059E-3</c:v>
                </c:pt>
                <c:pt idx="8">
                  <c:v>-6.4998697959342683E-3</c:v>
                </c:pt>
                <c:pt idx="9">
                  <c:v>-6.6110131844725438E-3</c:v>
                </c:pt>
                <c:pt idx="10">
                  <c:v>-4.8567642357671602E-2</c:v>
                </c:pt>
                <c:pt idx="11">
                  <c:v>-5.8107449873873597E-2</c:v>
                </c:pt>
                <c:pt idx="12">
                  <c:v>-7.2926568345643678E-2</c:v>
                </c:pt>
                <c:pt idx="13">
                  <c:v>-7.5130912218319496E-2</c:v>
                </c:pt>
                <c:pt idx="14">
                  <c:v>-7.783540133941752E-2</c:v>
                </c:pt>
                <c:pt idx="15">
                  <c:v>-7.783540133941752E-2</c:v>
                </c:pt>
                <c:pt idx="16">
                  <c:v>-7.783540133941752E-2</c:v>
                </c:pt>
                <c:pt idx="17">
                  <c:v>-7.783540133941752E-2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6-4093-B93F-FD5D2DF9F08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-31565.5</c:v>
                </c:pt>
                <c:pt idx="1">
                  <c:v>-31233.5</c:v>
                </c:pt>
                <c:pt idx="2">
                  <c:v>-31195.5</c:v>
                </c:pt>
                <c:pt idx="3">
                  <c:v>-31068.5</c:v>
                </c:pt>
                <c:pt idx="4">
                  <c:v>-30168.5</c:v>
                </c:pt>
                <c:pt idx="5">
                  <c:v>0</c:v>
                </c:pt>
                <c:pt idx="6">
                  <c:v>133</c:v>
                </c:pt>
                <c:pt idx="7">
                  <c:v>1479</c:v>
                </c:pt>
                <c:pt idx="8">
                  <c:v>1484</c:v>
                </c:pt>
                <c:pt idx="9">
                  <c:v>1490</c:v>
                </c:pt>
                <c:pt idx="10">
                  <c:v>3755</c:v>
                </c:pt>
                <c:pt idx="11">
                  <c:v>4270</c:v>
                </c:pt>
                <c:pt idx="12">
                  <c:v>5070</c:v>
                </c:pt>
                <c:pt idx="13">
                  <c:v>5189</c:v>
                </c:pt>
                <c:pt idx="14">
                  <c:v>5335</c:v>
                </c:pt>
                <c:pt idx="15">
                  <c:v>5335</c:v>
                </c:pt>
                <c:pt idx="16">
                  <c:v>5335</c:v>
                </c:pt>
                <c:pt idx="17">
                  <c:v>5335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6-4093-B93F-FD5D2DF9F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003152"/>
        <c:axId val="1"/>
      </c:scatterChart>
      <c:valAx>
        <c:axId val="79000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003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97937099967764"/>
          <c:w val="0.7744360902255639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E0-4600-8FAB-D23CAEBEDB7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2">
                  <c:v>3.1784999999217689E-2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E0-4600-8FAB-D23CAEBEDB7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1">
                  <c:v>3.5211500005971175E-2</c:v>
                </c:pt>
                <c:pt idx="3">
                  <c:v>3.1249500003468711E-2</c:v>
                </c:pt>
                <c:pt idx="4">
                  <c:v>5.1622500002849847E-2</c:v>
                </c:pt>
                <c:pt idx="5">
                  <c:v>5.8862500001851004E-2</c:v>
                </c:pt>
                <c:pt idx="6">
                  <c:v>5.9122500002558809E-2</c:v>
                </c:pt>
                <c:pt idx="7">
                  <c:v>6.0432500002207235E-2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E0-4600-8FAB-D23CAEBEDB7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E0-4600-8FAB-D23CAEBEDB7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E0-4600-8FAB-D23CAEBEDB7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E0-4600-8FAB-D23CAEBEDB7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1.2999999999999999E-3</c:v>
                  </c:pt>
                  <c:pt idx="5">
                    <c:v>1E-3</c:v>
                  </c:pt>
                  <c:pt idx="6">
                    <c:v>1.5E-3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E0-4600-8FAB-D23CAEBEDB7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1.5488552924968368E-2</c:v>
                </c:pt>
                <c:pt idx="1">
                  <c:v>1.6367326288806602E-2</c:v>
                </c:pt>
                <c:pt idx="2">
                  <c:v>4.3701803027143202E-2</c:v>
                </c:pt>
                <c:pt idx="3">
                  <c:v>4.9773928751709634E-2</c:v>
                </c:pt>
                <c:pt idx="4">
                  <c:v>5.0738597256374161E-2</c:v>
                </c:pt>
                <c:pt idx="5">
                  <c:v>5.0738597256374161E-2</c:v>
                </c:pt>
                <c:pt idx="6">
                  <c:v>5.0738597256374161E-2</c:v>
                </c:pt>
                <c:pt idx="7">
                  <c:v>5.0738597256374161E-2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E0-4600-8FAB-D23CAEBEDB7E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66.5</c:v>
                </c:pt>
                <c:pt idx="2">
                  <c:v>2135</c:v>
                </c:pt>
                <c:pt idx="3">
                  <c:v>2594.5</c:v>
                </c:pt>
                <c:pt idx="4">
                  <c:v>2667.5</c:v>
                </c:pt>
                <c:pt idx="5">
                  <c:v>2667.5</c:v>
                </c:pt>
                <c:pt idx="6">
                  <c:v>2667.5</c:v>
                </c:pt>
                <c:pt idx="7">
                  <c:v>2667.5</c:v>
                </c:pt>
              </c:numCache>
            </c:numRef>
          </c:xVal>
          <c:yVal>
            <c:numRef>
              <c:f>'A (2)'!$R$21:$R$999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E0-4600-8FAB-D23CAEBE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785864"/>
        <c:axId val="1"/>
      </c:scatterChart>
      <c:valAx>
        <c:axId val="55078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785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195488721804512"/>
          <c:y val="0.92375366568914952"/>
          <c:w val="0.95639097744360901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130189-A6F0-50E3-BBF9-087D5C155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0AD7AD0-A51A-DA59-987F-237750E81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4.pdf" TargetMode="External"/><Relationship Id="rId2" Type="http://schemas.openxmlformats.org/officeDocument/2006/relationships/hyperlink" Target="http://vsolj.cetus-net.org/no44.pdf" TargetMode="External"/><Relationship Id="rId1" Type="http://schemas.openxmlformats.org/officeDocument/2006/relationships/hyperlink" Target="http://vsolj.cetus-net.org/no44.pdf" TargetMode="External"/><Relationship Id="rId6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vsolj.cetus-net.org/vsoljno5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9" customFormat="1" ht="20.25">
      <c r="A1" s="58" t="s">
        <v>39</v>
      </c>
    </row>
    <row r="2" spans="1:6" s="59" customFormat="1" ht="12.95" customHeight="1">
      <c r="A2" s="59" t="s">
        <v>23</v>
      </c>
      <c r="B2" s="28" t="s">
        <v>40</v>
      </c>
      <c r="C2" s="60"/>
      <c r="D2" s="61" t="s">
        <v>113</v>
      </c>
    </row>
    <row r="3" spans="1:6" s="59" customFormat="1" ht="12.95" customHeight="1" thickBot="1"/>
    <row r="4" spans="1:6" s="59" customFormat="1" ht="12.95" customHeight="1" thickTop="1" thickBot="1">
      <c r="A4" s="62" t="s">
        <v>0</v>
      </c>
      <c r="C4" s="63" t="s">
        <v>41</v>
      </c>
      <c r="D4" s="64" t="s">
        <v>41</v>
      </c>
    </row>
    <row r="5" spans="1:6" s="59" customFormat="1" ht="12.95" customHeight="1" thickTop="1">
      <c r="A5" s="65" t="s">
        <v>29</v>
      </c>
      <c r="C5" s="66">
        <v>-9.5</v>
      </c>
      <c r="D5" s="59" t="s">
        <v>30</v>
      </c>
    </row>
    <row r="6" spans="1:6" s="59" customFormat="1" ht="12.95" customHeight="1">
      <c r="A6" s="62" t="s">
        <v>1</v>
      </c>
    </row>
    <row r="7" spans="1:6" s="59" customFormat="1" ht="12.95" customHeight="1">
      <c r="A7" s="59" t="s">
        <v>2</v>
      </c>
      <c r="C7" s="89">
        <v>52500.24</v>
      </c>
      <c r="D7" s="31" t="s">
        <v>44</v>
      </c>
    </row>
    <row r="8" spans="1:6" s="59" customFormat="1" ht="12.95" customHeight="1">
      <c r="A8" s="59" t="s">
        <v>3</v>
      </c>
      <c r="C8" s="89">
        <v>0.81675808000000005</v>
      </c>
      <c r="D8" s="31" t="s">
        <v>44</v>
      </c>
      <c r="E8" s="59" t="s">
        <v>50</v>
      </c>
    </row>
    <row r="9" spans="1:6" s="59" customFormat="1" ht="12.95" customHeight="1">
      <c r="A9" s="56" t="s">
        <v>34</v>
      </c>
      <c r="B9" s="68">
        <v>26</v>
      </c>
      <c r="C9" s="69" t="str">
        <f>"F"&amp;B9</f>
        <v>F26</v>
      </c>
      <c r="D9" s="70" t="str">
        <f>"G"&amp;B9</f>
        <v>G26</v>
      </c>
    </row>
    <row r="10" spans="1:6" s="59" customFormat="1" ht="12.95" customHeight="1" thickBot="1">
      <c r="C10" s="71" t="s">
        <v>19</v>
      </c>
      <c r="D10" s="71" t="s">
        <v>20</v>
      </c>
    </row>
    <row r="11" spans="1:6" s="59" customFormat="1" ht="12.95" customHeight="1">
      <c r="A11" s="59" t="s">
        <v>15</v>
      </c>
      <c r="C11" s="70">
        <f ca="1">INTERCEPT(INDIRECT($D$9):G992,INDIRECT($C$9):F992)</f>
        <v>2.0989594969199242E-2</v>
      </c>
      <c r="D11" s="60"/>
    </row>
    <row r="12" spans="1:6" s="59" customFormat="1" ht="12.95" customHeight="1">
      <c r="A12" s="59" t="s">
        <v>16</v>
      </c>
      <c r="C12" s="70">
        <f ca="1">SLOPE(INDIRECT($D$9):G992,INDIRECT($C$9):F992)</f>
        <v>-1.8523898089712609E-5</v>
      </c>
      <c r="D12" s="60"/>
    </row>
    <row r="13" spans="1:6" s="59" customFormat="1" ht="12.95" customHeight="1">
      <c r="A13" s="59" t="s">
        <v>18</v>
      </c>
      <c r="C13" s="60" t="s">
        <v>13</v>
      </c>
    </row>
    <row r="14" spans="1:6" s="59" customFormat="1" ht="12.95" customHeight="1"/>
    <row r="15" spans="1:6" s="59" customFormat="1" ht="12.95" customHeight="1">
      <c r="A15" s="72" t="s">
        <v>17</v>
      </c>
      <c r="C15" s="73">
        <f ca="1">(C7+C11)+(C8+C12)*INT(MAX(F21:F3533))</f>
        <v>56857.566521398658</v>
      </c>
      <c r="E15" s="74" t="s">
        <v>36</v>
      </c>
      <c r="F15" s="66">
        <v>1</v>
      </c>
    </row>
    <row r="16" spans="1:6" s="59" customFormat="1" ht="12.95" customHeight="1">
      <c r="A16" s="62" t="s">
        <v>4</v>
      </c>
      <c r="C16" s="75">
        <f ca="1">+C8+C12</f>
        <v>0.81673955610191029</v>
      </c>
      <c r="E16" s="74" t="s">
        <v>31</v>
      </c>
      <c r="F16" s="76">
        <f ca="1">NOW()+15018.5+$C$5/24</f>
        <v>60373.82797395833</v>
      </c>
    </row>
    <row r="17" spans="1:18" s="59" customFormat="1" ht="12.95" customHeight="1" thickBot="1">
      <c r="A17" s="74" t="s">
        <v>28</v>
      </c>
      <c r="C17" s="59">
        <f>COUNT(C21:C2191)</f>
        <v>18</v>
      </c>
      <c r="E17" s="74" t="s">
        <v>37</v>
      </c>
      <c r="F17" s="76">
        <f ca="1">ROUND(2*(F16-$C$7)/$C$8,0)/2+F15</f>
        <v>9641</v>
      </c>
    </row>
    <row r="18" spans="1:18" s="59" customFormat="1" ht="12.95" customHeight="1" thickTop="1" thickBot="1">
      <c r="A18" s="62" t="s">
        <v>5</v>
      </c>
      <c r="C18" s="77">
        <f ca="1">+C15</f>
        <v>56857.566521398658</v>
      </c>
      <c r="D18" s="78">
        <f ca="1">+C16</f>
        <v>0.81673955610191029</v>
      </c>
      <c r="E18" s="74" t="s">
        <v>38</v>
      </c>
      <c r="F18" s="70">
        <f ca="1">ROUND(2*(F16-$C$15)/$C$16,0)/2+F15</f>
        <v>4306</v>
      </c>
    </row>
    <row r="19" spans="1:18" s="59" customFormat="1" ht="12.95" customHeight="1" thickTop="1">
      <c r="E19" s="74" t="s">
        <v>32</v>
      </c>
      <c r="F19" s="79">
        <f ca="1">+$C$15+$C$16*F18-15018.5-$C$5/24</f>
        <v>45356.342883306817</v>
      </c>
    </row>
    <row r="20" spans="1:18" s="59" customFormat="1" ht="12.95" customHeight="1" thickBot="1">
      <c r="A20" s="71" t="s">
        <v>6</v>
      </c>
      <c r="B20" s="71" t="s">
        <v>7</v>
      </c>
      <c r="C20" s="71" t="s">
        <v>8</v>
      </c>
      <c r="D20" s="71" t="s">
        <v>12</v>
      </c>
      <c r="E20" s="71" t="s">
        <v>9</v>
      </c>
      <c r="F20" s="71" t="s">
        <v>10</v>
      </c>
      <c r="G20" s="71" t="s">
        <v>11</v>
      </c>
      <c r="H20" s="80" t="s">
        <v>44</v>
      </c>
      <c r="I20" s="80" t="s">
        <v>115</v>
      </c>
      <c r="J20" s="80" t="s">
        <v>54</v>
      </c>
      <c r="K20" s="80" t="s">
        <v>114</v>
      </c>
      <c r="L20" s="80" t="s">
        <v>25</v>
      </c>
      <c r="M20" s="80" t="s">
        <v>26</v>
      </c>
      <c r="N20" s="80" t="s">
        <v>27</v>
      </c>
      <c r="O20" s="80" t="s">
        <v>22</v>
      </c>
      <c r="P20" s="81" t="s">
        <v>21</v>
      </c>
      <c r="Q20" s="71" t="s">
        <v>14</v>
      </c>
      <c r="R20" s="82" t="s">
        <v>35</v>
      </c>
    </row>
    <row r="21" spans="1:18" s="59" customFormat="1" ht="12.95" customHeight="1">
      <c r="A21" s="83" t="s">
        <v>68</v>
      </c>
      <c r="B21" s="84" t="s">
        <v>46</v>
      </c>
      <c r="C21" s="85">
        <v>26719.268</v>
      </c>
      <c r="D21" s="67"/>
      <c r="E21" s="59">
        <f t="shared" ref="E21:E38" si="0">+(C21-C$7)/C$8</f>
        <v>-31565.003923805685</v>
      </c>
      <c r="F21" s="86">
        <f>ROUND(2*E21,0)/2-0.5</f>
        <v>-31565.5</v>
      </c>
      <c r="G21" s="59">
        <f t="shared" ref="G21:G38" si="1">+C21-(C$7+F21*C$8)</f>
        <v>0.40517424000427127</v>
      </c>
      <c r="K21" s="59">
        <f>+G21</f>
        <v>0.40517424000427127</v>
      </c>
      <c r="O21" s="59">
        <f t="shared" ref="O21:O38" ca="1" si="2">+C$11+C$12*$F21</f>
        <v>0.60570570012002267</v>
      </c>
      <c r="Q21" s="87">
        <f t="shared" ref="Q21:Q38" si="3">+C21-15018.5</f>
        <v>11700.768</v>
      </c>
    </row>
    <row r="22" spans="1:18" s="59" customFormat="1" ht="12.95" customHeight="1">
      <c r="A22" s="88" t="s">
        <v>68</v>
      </c>
      <c r="B22" s="84" t="s">
        <v>46</v>
      </c>
      <c r="C22" s="85">
        <v>26990.434000000001</v>
      </c>
      <c r="D22" s="67"/>
      <c r="E22" s="59">
        <f t="shared" si="0"/>
        <v>-31233.001086441647</v>
      </c>
      <c r="F22" s="86">
        <f>ROUND(2*E22,0)/2-0.5</f>
        <v>-31233.5</v>
      </c>
      <c r="G22" s="59">
        <f t="shared" si="1"/>
        <v>0.40749168000547797</v>
      </c>
      <c r="K22" s="59">
        <f>+G22</f>
        <v>0.40749168000547797</v>
      </c>
      <c r="O22" s="59">
        <f t="shared" ca="1" si="2"/>
        <v>0.5995557659542381</v>
      </c>
      <c r="Q22" s="87">
        <f t="shared" si="3"/>
        <v>11971.934000000001</v>
      </c>
    </row>
    <row r="23" spans="1:18" ht="12.95" customHeight="1">
      <c r="A23" s="53" t="s">
        <v>68</v>
      </c>
      <c r="B23" s="55" t="s">
        <v>46</v>
      </c>
      <c r="C23" s="54">
        <v>27021.469000000001</v>
      </c>
      <c r="D23" s="8"/>
      <c r="E23">
        <f t="shared" si="0"/>
        <v>-31195.003298896041</v>
      </c>
      <c r="F23" s="57">
        <f>ROUND(2*E23,0)/2-0.5</f>
        <v>-31195.5</v>
      </c>
      <c r="G23">
        <f t="shared" si="1"/>
        <v>0.40568464000534732</v>
      </c>
      <c r="K23">
        <f>+G23</f>
        <v>0.40568464000534732</v>
      </c>
      <c r="O23">
        <f t="shared" ca="1" si="2"/>
        <v>0.59885185782682893</v>
      </c>
      <c r="Q23" s="2">
        <f t="shared" si="3"/>
        <v>12002.969000000001</v>
      </c>
    </row>
    <row r="24" spans="1:18" ht="12.95" customHeight="1">
      <c r="A24" s="53" t="s">
        <v>68</v>
      </c>
      <c r="B24" s="55" t="s">
        <v>46</v>
      </c>
      <c r="C24" s="54">
        <v>27125.205999999998</v>
      </c>
      <c r="D24" s="8"/>
      <c r="E24">
        <f t="shared" si="0"/>
        <v>-31067.992617838561</v>
      </c>
      <c r="F24" s="57">
        <f>ROUND(2*E24,0)/2-0.5</f>
        <v>-31068.5</v>
      </c>
      <c r="G24">
        <f t="shared" si="1"/>
        <v>0.41440848000274855</v>
      </c>
      <c r="K24">
        <f>+G24</f>
        <v>0.41440848000274855</v>
      </c>
      <c r="O24">
        <f t="shared" ca="1" si="2"/>
        <v>0.59649932276943551</v>
      </c>
      <c r="Q24" s="2">
        <f t="shared" si="3"/>
        <v>12106.705999999998</v>
      </c>
    </row>
    <row r="25" spans="1:18" ht="12.95" customHeight="1">
      <c r="A25" s="53" t="s">
        <v>68</v>
      </c>
      <c r="B25" s="55" t="s">
        <v>46</v>
      </c>
      <c r="C25" s="54">
        <v>27860.281999999999</v>
      </c>
      <c r="D25" s="8"/>
      <c r="E25">
        <f t="shared" si="0"/>
        <v>-30168.000296979</v>
      </c>
      <c r="F25" s="57">
        <f>ROUND(2*E25,0)/2-0.5</f>
        <v>-30168.5</v>
      </c>
      <c r="G25">
        <f t="shared" si="1"/>
        <v>0.40813648000403191</v>
      </c>
      <c r="K25">
        <f>+G25</f>
        <v>0.40813648000403191</v>
      </c>
      <c r="O25">
        <f t="shared" ca="1" si="2"/>
        <v>0.57982781448869414</v>
      </c>
      <c r="Q25" s="2">
        <f t="shared" si="3"/>
        <v>12841.781999999999</v>
      </c>
    </row>
    <row r="26" spans="1:18" ht="12.95" customHeight="1">
      <c r="A26" s="56" t="s">
        <v>44</v>
      </c>
      <c r="C26" s="8">
        <v>52500.24</v>
      </c>
      <c r="D26" s="8" t="s">
        <v>13</v>
      </c>
      <c r="E26">
        <f t="shared" si="0"/>
        <v>0</v>
      </c>
      <c r="F26">
        <f t="shared" ref="F26:F38" si="4">ROUND(2*E26,0)/2</f>
        <v>0</v>
      </c>
      <c r="G26">
        <f t="shared" si="1"/>
        <v>0</v>
      </c>
      <c r="H26">
        <f>+G26</f>
        <v>0</v>
      </c>
      <c r="O26">
        <f t="shared" ca="1" si="2"/>
        <v>2.0989594969199242E-2</v>
      </c>
      <c r="Q26" s="2">
        <f t="shared" si="3"/>
        <v>37481.74</v>
      </c>
    </row>
    <row r="27" spans="1:18" ht="12.95" customHeight="1">
      <c r="A27" s="34" t="s">
        <v>45</v>
      </c>
      <c r="B27" s="35" t="s">
        <v>46</v>
      </c>
      <c r="C27" s="36">
        <v>52608.900900000001</v>
      </c>
      <c r="D27" s="36">
        <v>5.0000000000000001E-4</v>
      </c>
      <c r="E27">
        <f t="shared" si="0"/>
        <v>133.03927155517405</v>
      </c>
      <c r="F27">
        <f t="shared" si="4"/>
        <v>133</v>
      </c>
      <c r="G27">
        <f t="shared" si="1"/>
        <v>3.2075360002636444E-2</v>
      </c>
      <c r="J27">
        <f>+G27</f>
        <v>3.2075360002636444E-2</v>
      </c>
      <c r="O27">
        <f t="shared" ca="1" si="2"/>
        <v>1.8525916523267464E-2</v>
      </c>
      <c r="Q27" s="2">
        <f t="shared" si="3"/>
        <v>37590.400900000001</v>
      </c>
    </row>
    <row r="28" spans="1:18">
      <c r="A28" s="53" t="s">
        <v>92</v>
      </c>
      <c r="B28" s="55" t="s">
        <v>46</v>
      </c>
      <c r="C28" s="54">
        <v>53708.2255</v>
      </c>
      <c r="D28" s="8"/>
      <c r="E28">
        <f t="shared" si="0"/>
        <v>1479.0003669140347</v>
      </c>
      <c r="F28">
        <f t="shared" si="4"/>
        <v>1479</v>
      </c>
      <c r="G28">
        <f t="shared" si="1"/>
        <v>2.9968000308144838E-4</v>
      </c>
      <c r="K28">
        <f>+G28</f>
        <v>2.9968000308144838E-4</v>
      </c>
      <c r="O28">
        <f t="shared" ca="1" si="2"/>
        <v>-6.4072503054857059E-3</v>
      </c>
      <c r="Q28" s="2">
        <f t="shared" si="3"/>
        <v>38689.7255</v>
      </c>
    </row>
    <row r="29" spans="1:18">
      <c r="A29" s="53" t="s">
        <v>92</v>
      </c>
      <c r="B29" s="55" t="s">
        <v>46</v>
      </c>
      <c r="C29" s="54">
        <v>53712.3076</v>
      </c>
      <c r="D29" s="8"/>
      <c r="E29">
        <f t="shared" si="0"/>
        <v>1483.9982972681482</v>
      </c>
      <c r="F29">
        <f t="shared" si="4"/>
        <v>1484</v>
      </c>
      <c r="G29">
        <f t="shared" si="1"/>
        <v>-1.3907199972891249E-3</v>
      </c>
      <c r="K29">
        <f>+G29</f>
        <v>-1.3907199972891249E-3</v>
      </c>
      <c r="O29">
        <f t="shared" ca="1" si="2"/>
        <v>-6.4998697959342683E-3</v>
      </c>
      <c r="Q29" s="2">
        <f t="shared" si="3"/>
        <v>38693.8076</v>
      </c>
    </row>
    <row r="30" spans="1:18">
      <c r="A30" s="53" t="s">
        <v>92</v>
      </c>
      <c r="B30" s="55" t="s">
        <v>46</v>
      </c>
      <c r="C30" s="54">
        <v>53717.209300000002</v>
      </c>
      <c r="D30" s="8"/>
      <c r="E30">
        <f t="shared" si="0"/>
        <v>1489.9997071348278</v>
      </c>
      <c r="F30">
        <f t="shared" si="4"/>
        <v>1490</v>
      </c>
      <c r="G30">
        <f t="shared" si="1"/>
        <v>-2.3919999512145296E-4</v>
      </c>
      <c r="K30">
        <f>+G30</f>
        <v>-2.3919999512145296E-4</v>
      </c>
      <c r="O30">
        <f t="shared" ca="1" si="2"/>
        <v>-6.6110131844725438E-3</v>
      </c>
      <c r="Q30" s="2">
        <f t="shared" si="3"/>
        <v>38698.709300000002</v>
      </c>
    </row>
    <row r="31" spans="1:18">
      <c r="A31" s="53" t="s">
        <v>103</v>
      </c>
      <c r="B31" s="55" t="s">
        <v>46</v>
      </c>
      <c r="C31" s="54">
        <v>55567.111299999997</v>
      </c>
      <c r="D31" s="8"/>
      <c r="E31">
        <f t="shared" si="0"/>
        <v>3754.9323050468001</v>
      </c>
      <c r="F31">
        <f t="shared" si="4"/>
        <v>3755</v>
      </c>
      <c r="G31">
        <f t="shared" si="1"/>
        <v>-5.5290399999648798E-2</v>
      </c>
      <c r="K31">
        <f>+G31</f>
        <v>-5.5290399999648798E-2</v>
      </c>
      <c r="O31">
        <f t="shared" ca="1" si="2"/>
        <v>-4.8567642357671602E-2</v>
      </c>
      <c r="Q31" s="2">
        <f t="shared" si="3"/>
        <v>40548.611299999997</v>
      </c>
    </row>
    <row r="32" spans="1:18">
      <c r="A32" s="32" t="s">
        <v>42</v>
      </c>
      <c r="B32" s="33" t="s">
        <v>43</v>
      </c>
      <c r="C32" s="32">
        <v>55987.7281</v>
      </c>
      <c r="D32" s="32">
        <v>2.0000000000000001E-4</v>
      </c>
      <c r="E32">
        <f t="shared" si="0"/>
        <v>4269.9156401366754</v>
      </c>
      <c r="F32">
        <f t="shared" si="4"/>
        <v>4270</v>
      </c>
      <c r="G32">
        <f t="shared" si="1"/>
        <v>-6.8901599996024743E-2</v>
      </c>
      <c r="J32">
        <f>+G32</f>
        <v>-6.8901599996024743E-2</v>
      </c>
      <c r="O32">
        <f t="shared" ca="1" si="2"/>
        <v>-5.8107449873873597E-2</v>
      </c>
      <c r="Q32" s="2">
        <f t="shared" si="3"/>
        <v>40969.2281</v>
      </c>
    </row>
    <row r="33" spans="1:17">
      <c r="A33" s="53" t="s">
        <v>112</v>
      </c>
      <c r="B33" s="55" t="s">
        <v>46</v>
      </c>
      <c r="C33" s="54">
        <v>56641.115100000003</v>
      </c>
      <c r="D33" s="8"/>
      <c r="E33">
        <f t="shared" si="0"/>
        <v>5069.8918093347838</v>
      </c>
      <c r="F33">
        <f t="shared" si="4"/>
        <v>5070</v>
      </c>
      <c r="G33">
        <f t="shared" si="1"/>
        <v>-8.8365599993267097E-2</v>
      </c>
      <c r="K33">
        <f>+G33</f>
        <v>-8.8365599993267097E-2</v>
      </c>
      <c r="O33">
        <f t="shared" ca="1" si="2"/>
        <v>-7.2926568345643678E-2</v>
      </c>
      <c r="Q33" s="2">
        <f t="shared" si="3"/>
        <v>41622.615100000003</v>
      </c>
    </row>
    <row r="34" spans="1:17">
      <c r="A34" s="37" t="s">
        <v>49</v>
      </c>
      <c r="B34" s="38" t="s">
        <v>46</v>
      </c>
      <c r="C34" s="39">
        <v>56738.306570000001</v>
      </c>
      <c r="D34" s="37">
        <v>4.0000000000000002E-4</v>
      </c>
      <c r="E34">
        <f t="shared" si="0"/>
        <v>5188.8884527472346</v>
      </c>
      <c r="F34">
        <f t="shared" si="4"/>
        <v>5189</v>
      </c>
      <c r="G34">
        <f t="shared" si="1"/>
        <v>-9.1107119995285757E-2</v>
      </c>
      <c r="J34">
        <f>+G34</f>
        <v>-9.1107119995285757E-2</v>
      </c>
      <c r="O34">
        <f t="shared" ca="1" si="2"/>
        <v>-7.5130912218319496E-2</v>
      </c>
      <c r="Q34" s="2">
        <f t="shared" si="3"/>
        <v>41719.806570000001</v>
      </c>
    </row>
    <row r="35" spans="1:17">
      <c r="A35" s="37" t="s">
        <v>49</v>
      </c>
      <c r="B35" s="38" t="s">
        <v>46</v>
      </c>
      <c r="C35" s="39">
        <v>56857.570180000002</v>
      </c>
      <c r="D35" s="37">
        <v>1.2999999999999999E-3</v>
      </c>
      <c r="E35">
        <f t="shared" si="0"/>
        <v>5334.9091814310596</v>
      </c>
      <c r="F35">
        <f t="shared" si="4"/>
        <v>5335</v>
      </c>
      <c r="G35">
        <f t="shared" si="1"/>
        <v>-7.4176799993438181E-2</v>
      </c>
      <c r="J35">
        <f>+G35</f>
        <v>-7.4176799993438181E-2</v>
      </c>
      <c r="O35">
        <f t="shared" ca="1" si="2"/>
        <v>-7.783540133941752E-2</v>
      </c>
      <c r="Q35" s="2">
        <f t="shared" si="3"/>
        <v>41839.070180000002</v>
      </c>
    </row>
    <row r="36" spans="1:17">
      <c r="A36" s="37" t="s">
        <v>49</v>
      </c>
      <c r="B36" s="38" t="s">
        <v>46</v>
      </c>
      <c r="C36" s="39">
        <v>56857.577420000001</v>
      </c>
      <c r="D36" s="37">
        <v>1E-3</v>
      </c>
      <c r="E36">
        <f t="shared" si="0"/>
        <v>5334.9180457449565</v>
      </c>
      <c r="F36">
        <f t="shared" si="4"/>
        <v>5335</v>
      </c>
      <c r="G36">
        <f t="shared" si="1"/>
        <v>-6.6936799994437024E-2</v>
      </c>
      <c r="J36">
        <f>+G36</f>
        <v>-6.6936799994437024E-2</v>
      </c>
      <c r="O36">
        <f t="shared" ca="1" si="2"/>
        <v>-7.783540133941752E-2</v>
      </c>
      <c r="Q36" s="2">
        <f t="shared" si="3"/>
        <v>41839.077420000001</v>
      </c>
    </row>
    <row r="37" spans="1:17">
      <c r="A37" s="37" t="s">
        <v>49</v>
      </c>
      <c r="B37" s="38" t="s">
        <v>46</v>
      </c>
      <c r="C37" s="39">
        <v>56857.577680000002</v>
      </c>
      <c r="D37" s="37">
        <v>1.5E-3</v>
      </c>
      <c r="E37">
        <f t="shared" si="0"/>
        <v>5334.9183640766723</v>
      </c>
      <c r="F37">
        <f t="shared" si="4"/>
        <v>5335</v>
      </c>
      <c r="G37">
        <f t="shared" si="1"/>
        <v>-6.6676799993729219E-2</v>
      </c>
      <c r="J37">
        <f>+G37</f>
        <v>-6.6676799993729219E-2</v>
      </c>
      <c r="O37">
        <f t="shared" ca="1" si="2"/>
        <v>-7.783540133941752E-2</v>
      </c>
      <c r="Q37" s="2">
        <f t="shared" si="3"/>
        <v>41839.077680000002</v>
      </c>
    </row>
    <row r="38" spans="1:17">
      <c r="A38" s="37" t="s">
        <v>49</v>
      </c>
      <c r="B38" s="38" t="s">
        <v>46</v>
      </c>
      <c r="C38" s="39">
        <v>56857.578990000002</v>
      </c>
      <c r="D38" s="37">
        <v>1.2999999999999999E-3</v>
      </c>
      <c r="E38">
        <f t="shared" si="0"/>
        <v>5334.9199679787725</v>
      </c>
      <c r="F38">
        <f t="shared" si="4"/>
        <v>5335</v>
      </c>
      <c r="G38">
        <f t="shared" si="1"/>
        <v>-6.5366799994080793E-2</v>
      </c>
      <c r="J38">
        <f>+G38</f>
        <v>-6.5366799994080793E-2</v>
      </c>
      <c r="O38">
        <f t="shared" ca="1" si="2"/>
        <v>-7.783540133941752E-2</v>
      </c>
      <c r="Q38" s="2">
        <f t="shared" si="3"/>
        <v>41839.078990000002</v>
      </c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7"/>
  <sheetViews>
    <sheetView workbookViewId="0">
      <selection activeCell="A13" sqref="A13:C22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0" t="s">
        <v>52</v>
      </c>
      <c r="I1" s="41" t="s">
        <v>53</v>
      </c>
      <c r="J1" s="42" t="s">
        <v>54</v>
      </c>
    </row>
    <row r="2" spans="1:16">
      <c r="I2" s="43" t="s">
        <v>55</v>
      </c>
      <c r="J2" s="44" t="s">
        <v>56</v>
      </c>
    </row>
    <row r="3" spans="1:16">
      <c r="A3" s="45" t="s">
        <v>57</v>
      </c>
      <c r="I3" s="43" t="s">
        <v>58</v>
      </c>
      <c r="J3" s="44" t="s">
        <v>59</v>
      </c>
    </row>
    <row r="4" spans="1:16">
      <c r="I4" s="43" t="s">
        <v>60</v>
      </c>
      <c r="J4" s="44" t="s">
        <v>59</v>
      </c>
    </row>
    <row r="5" spans="1:16" ht="13.5" thickBot="1">
      <c r="I5" s="46" t="s">
        <v>61</v>
      </c>
      <c r="J5" s="47" t="s">
        <v>62</v>
      </c>
    </row>
    <row r="10" spans="1:16" ht="13.5" thickBot="1"/>
    <row r="11" spans="1:16" ht="12.75" customHeight="1" thickBot="1">
      <c r="A11" s="8" t="str">
        <f t="shared" ref="A11:A22" si="0">P11</f>
        <v> JAAVSO 41;122 </v>
      </c>
      <c r="B11" s="3" t="str">
        <f t="shared" ref="B11:B22" si="1">IF(H11=INT(H11),"I","II")</f>
        <v>I</v>
      </c>
      <c r="C11" s="8">
        <f t="shared" ref="C11:C22" si="2">1*G11</f>
        <v>52608.900900000001</v>
      </c>
      <c r="D11" s="10" t="str">
        <f t="shared" ref="D11:D22" si="3">VLOOKUP(F11,I$1:J$5,2,FALSE)</f>
        <v>vis</v>
      </c>
      <c r="E11" s="48">
        <f>VLOOKUP(C11,Active!C$21:E$973,3,FALSE)</f>
        <v>133.03927155517405</v>
      </c>
      <c r="F11" s="3" t="s">
        <v>61</v>
      </c>
      <c r="G11" s="10" t="str">
        <f t="shared" ref="G11:G22" si="4">MID(I11,3,LEN(I11)-3)</f>
        <v>52608.9009</v>
      </c>
      <c r="H11" s="8">
        <f t="shared" ref="H11:H22" si="5">1*K11</f>
        <v>31366</v>
      </c>
      <c r="I11" s="49" t="s">
        <v>80</v>
      </c>
      <c r="J11" s="50" t="s">
        <v>81</v>
      </c>
      <c r="K11" s="49">
        <v>31366</v>
      </c>
      <c r="L11" s="49" t="s">
        <v>82</v>
      </c>
      <c r="M11" s="50" t="s">
        <v>83</v>
      </c>
      <c r="N11" s="50" t="s">
        <v>66</v>
      </c>
      <c r="O11" s="51" t="s">
        <v>84</v>
      </c>
      <c r="P11" s="51" t="s">
        <v>85</v>
      </c>
    </row>
    <row r="12" spans="1:16" ht="12.75" customHeight="1" thickBot="1">
      <c r="A12" s="8" t="str">
        <f t="shared" si="0"/>
        <v>IBVS 6029 </v>
      </c>
      <c r="B12" s="3" t="str">
        <f t="shared" si="1"/>
        <v>I</v>
      </c>
      <c r="C12" s="8">
        <f t="shared" si="2"/>
        <v>55987.7281</v>
      </c>
      <c r="D12" s="10" t="str">
        <f t="shared" si="3"/>
        <v>vis</v>
      </c>
      <c r="E12" s="48">
        <f>VLOOKUP(C12,Active!C$21:E$973,3,FALSE)</f>
        <v>4269.9156401366754</v>
      </c>
      <c r="F12" s="3" t="s">
        <v>61</v>
      </c>
      <c r="G12" s="10" t="str">
        <f t="shared" si="4"/>
        <v>55987.7281</v>
      </c>
      <c r="H12" s="8">
        <f t="shared" si="5"/>
        <v>35503</v>
      </c>
      <c r="I12" s="49" t="s">
        <v>104</v>
      </c>
      <c r="J12" s="50" t="s">
        <v>105</v>
      </c>
      <c r="K12" s="49">
        <v>35503</v>
      </c>
      <c r="L12" s="49" t="s">
        <v>106</v>
      </c>
      <c r="M12" s="50" t="s">
        <v>83</v>
      </c>
      <c r="N12" s="50" t="s">
        <v>61</v>
      </c>
      <c r="O12" s="51" t="s">
        <v>107</v>
      </c>
      <c r="P12" s="52" t="s">
        <v>108</v>
      </c>
    </row>
    <row r="13" spans="1:16" ht="12.75" customHeight="1" thickBot="1">
      <c r="A13" s="8" t="str">
        <f t="shared" si="0"/>
        <v> PSMO 8.2.52 </v>
      </c>
      <c r="B13" s="3" t="str">
        <f t="shared" si="1"/>
        <v>I</v>
      </c>
      <c r="C13" s="8">
        <f t="shared" si="2"/>
        <v>26719.268</v>
      </c>
      <c r="D13" s="10" t="str">
        <f t="shared" si="3"/>
        <v>vis</v>
      </c>
      <c r="E13" s="48">
        <f>VLOOKUP(C13,Active!C$21:E$973,3,FALSE)</f>
        <v>-31565.003923805685</v>
      </c>
      <c r="F13" s="3" t="s">
        <v>61</v>
      </c>
      <c r="G13" s="10" t="str">
        <f t="shared" si="4"/>
        <v>26719.268</v>
      </c>
      <c r="H13" s="8">
        <f t="shared" si="5"/>
        <v>-332</v>
      </c>
      <c r="I13" s="49" t="s">
        <v>63</v>
      </c>
      <c r="J13" s="50" t="s">
        <v>64</v>
      </c>
      <c r="K13" s="49">
        <v>-332</v>
      </c>
      <c r="L13" s="49" t="s">
        <v>65</v>
      </c>
      <c r="M13" s="50" t="s">
        <v>66</v>
      </c>
      <c r="N13" s="50"/>
      <c r="O13" s="51" t="s">
        <v>67</v>
      </c>
      <c r="P13" s="51" t="s">
        <v>68</v>
      </c>
    </row>
    <row r="14" spans="1:16" ht="12.75" customHeight="1" thickBot="1">
      <c r="A14" s="8" t="str">
        <f t="shared" si="0"/>
        <v> PSMO 8.2.52 </v>
      </c>
      <c r="B14" s="3" t="str">
        <f t="shared" si="1"/>
        <v>I</v>
      </c>
      <c r="C14" s="8">
        <f t="shared" si="2"/>
        <v>26990.434000000001</v>
      </c>
      <c r="D14" s="10" t="str">
        <f t="shared" si="3"/>
        <v>vis</v>
      </c>
      <c r="E14" s="48">
        <f>VLOOKUP(C14,Active!C$21:E$973,3,FALSE)</f>
        <v>-31233.001086441647</v>
      </c>
      <c r="F14" s="3" t="s">
        <v>61</v>
      </c>
      <c r="G14" s="10" t="str">
        <f t="shared" si="4"/>
        <v>26990.434</v>
      </c>
      <c r="H14" s="8">
        <f t="shared" si="5"/>
        <v>0</v>
      </c>
      <c r="I14" s="49" t="s">
        <v>69</v>
      </c>
      <c r="J14" s="50" t="s">
        <v>70</v>
      </c>
      <c r="K14" s="49">
        <v>0</v>
      </c>
      <c r="L14" s="49" t="s">
        <v>71</v>
      </c>
      <c r="M14" s="50" t="s">
        <v>66</v>
      </c>
      <c r="N14" s="50"/>
      <c r="O14" s="51" t="s">
        <v>67</v>
      </c>
      <c r="P14" s="51" t="s">
        <v>68</v>
      </c>
    </row>
    <row r="15" spans="1:16" ht="12.75" customHeight="1" thickBot="1">
      <c r="A15" s="8" t="str">
        <f t="shared" si="0"/>
        <v> PSMO 8.2.52 </v>
      </c>
      <c r="B15" s="3" t="str">
        <f t="shared" si="1"/>
        <v>I</v>
      </c>
      <c r="C15" s="8">
        <f t="shared" si="2"/>
        <v>27021.469000000001</v>
      </c>
      <c r="D15" s="10" t="str">
        <f t="shared" si="3"/>
        <v>vis</v>
      </c>
      <c r="E15" s="48">
        <f>VLOOKUP(C15,Active!C$21:E$973,3,FALSE)</f>
        <v>-31195.003298896041</v>
      </c>
      <c r="F15" s="3" t="s">
        <v>61</v>
      </c>
      <c r="G15" s="10" t="str">
        <f t="shared" si="4"/>
        <v>27021.469</v>
      </c>
      <c r="H15" s="8">
        <f t="shared" si="5"/>
        <v>38</v>
      </c>
      <c r="I15" s="49" t="s">
        <v>72</v>
      </c>
      <c r="J15" s="50" t="s">
        <v>73</v>
      </c>
      <c r="K15" s="49">
        <v>38</v>
      </c>
      <c r="L15" s="49" t="s">
        <v>65</v>
      </c>
      <c r="M15" s="50" t="s">
        <v>66</v>
      </c>
      <c r="N15" s="50"/>
      <c r="O15" s="51" t="s">
        <v>67</v>
      </c>
      <c r="P15" s="51" t="s">
        <v>68</v>
      </c>
    </row>
    <row r="16" spans="1:16" ht="12.75" customHeight="1" thickBot="1">
      <c r="A16" s="8" t="str">
        <f t="shared" si="0"/>
        <v> PSMO 8.2.52 </v>
      </c>
      <c r="B16" s="3" t="str">
        <f t="shared" si="1"/>
        <v>I</v>
      </c>
      <c r="C16" s="8">
        <f t="shared" si="2"/>
        <v>27125.205999999998</v>
      </c>
      <c r="D16" s="10" t="str">
        <f t="shared" si="3"/>
        <v>vis</v>
      </c>
      <c r="E16" s="48">
        <f>VLOOKUP(C16,Active!C$21:E$973,3,FALSE)</f>
        <v>-31067.992617838561</v>
      </c>
      <c r="F16" s="3" t="s">
        <v>61</v>
      </c>
      <c r="G16" s="10" t="str">
        <f t="shared" si="4"/>
        <v>27125.206</v>
      </c>
      <c r="H16" s="8">
        <f t="shared" si="5"/>
        <v>165</v>
      </c>
      <c r="I16" s="49" t="s">
        <v>74</v>
      </c>
      <c r="J16" s="50" t="s">
        <v>75</v>
      </c>
      <c r="K16" s="49">
        <v>165</v>
      </c>
      <c r="L16" s="49" t="s">
        <v>76</v>
      </c>
      <c r="M16" s="50" t="s">
        <v>66</v>
      </c>
      <c r="N16" s="50"/>
      <c r="O16" s="51" t="s">
        <v>67</v>
      </c>
      <c r="P16" s="51" t="s">
        <v>68</v>
      </c>
    </row>
    <row r="17" spans="1:16" ht="12.75" customHeight="1" thickBot="1">
      <c r="A17" s="8" t="str">
        <f t="shared" si="0"/>
        <v> PSMO 8.2.52 </v>
      </c>
      <c r="B17" s="3" t="str">
        <f t="shared" si="1"/>
        <v>I</v>
      </c>
      <c r="C17" s="8">
        <f t="shared" si="2"/>
        <v>27860.281999999999</v>
      </c>
      <c r="D17" s="10" t="str">
        <f t="shared" si="3"/>
        <v>vis</v>
      </c>
      <c r="E17" s="48">
        <f>VLOOKUP(C17,Active!C$21:E$973,3,FALSE)</f>
        <v>-30168.000296979</v>
      </c>
      <c r="F17" s="3" t="s">
        <v>61</v>
      </c>
      <c r="G17" s="10" t="str">
        <f t="shared" si="4"/>
        <v>27860.282</v>
      </c>
      <c r="H17" s="8">
        <f t="shared" si="5"/>
        <v>1065</v>
      </c>
      <c r="I17" s="49" t="s">
        <v>77</v>
      </c>
      <c r="J17" s="50" t="s">
        <v>78</v>
      </c>
      <c r="K17" s="49">
        <v>1065</v>
      </c>
      <c r="L17" s="49" t="s">
        <v>79</v>
      </c>
      <c r="M17" s="50" t="s">
        <v>66</v>
      </c>
      <c r="N17" s="50"/>
      <c r="O17" s="51" t="s">
        <v>67</v>
      </c>
      <c r="P17" s="51" t="s">
        <v>68</v>
      </c>
    </row>
    <row r="18" spans="1:16" ht="12.75" customHeight="1" thickBot="1">
      <c r="A18" s="8" t="str">
        <f t="shared" si="0"/>
        <v>VSB 44 </v>
      </c>
      <c r="B18" s="3" t="str">
        <f t="shared" si="1"/>
        <v>I</v>
      </c>
      <c r="C18" s="8">
        <f t="shared" si="2"/>
        <v>53708.2255</v>
      </c>
      <c r="D18" s="10" t="str">
        <f t="shared" si="3"/>
        <v>vis</v>
      </c>
      <c r="E18" s="48">
        <f>VLOOKUP(C18,Active!C$21:E$973,3,FALSE)</f>
        <v>1479.0003669140347</v>
      </c>
      <c r="F18" s="3" t="s">
        <v>61</v>
      </c>
      <c r="G18" s="10" t="str">
        <f t="shared" si="4"/>
        <v>53708.2255</v>
      </c>
      <c r="H18" s="8">
        <f t="shared" si="5"/>
        <v>32712</v>
      </c>
      <c r="I18" s="49" t="s">
        <v>86</v>
      </c>
      <c r="J18" s="50" t="s">
        <v>87</v>
      </c>
      <c r="K18" s="49">
        <v>32712</v>
      </c>
      <c r="L18" s="49" t="s">
        <v>88</v>
      </c>
      <c r="M18" s="50" t="s">
        <v>89</v>
      </c>
      <c r="N18" s="50" t="s">
        <v>90</v>
      </c>
      <c r="O18" s="51" t="s">
        <v>91</v>
      </c>
      <c r="P18" s="52" t="s">
        <v>92</v>
      </c>
    </row>
    <row r="19" spans="1:16" ht="12.75" customHeight="1" thickBot="1">
      <c r="A19" s="8" t="str">
        <f t="shared" si="0"/>
        <v>VSB 44 </v>
      </c>
      <c r="B19" s="3" t="str">
        <f t="shared" si="1"/>
        <v>I</v>
      </c>
      <c r="C19" s="8">
        <f t="shared" si="2"/>
        <v>53712.3076</v>
      </c>
      <c r="D19" s="10" t="str">
        <f t="shared" si="3"/>
        <v>vis</v>
      </c>
      <c r="E19" s="48">
        <f>VLOOKUP(C19,Active!C$21:E$973,3,FALSE)</f>
        <v>1483.9982972681482</v>
      </c>
      <c r="F19" s="3" t="s">
        <v>61</v>
      </c>
      <c r="G19" s="10" t="str">
        <f t="shared" si="4"/>
        <v>53712.3076</v>
      </c>
      <c r="H19" s="8">
        <f t="shared" si="5"/>
        <v>32717</v>
      </c>
      <c r="I19" s="49" t="s">
        <v>93</v>
      </c>
      <c r="J19" s="50" t="s">
        <v>94</v>
      </c>
      <c r="K19" s="49">
        <v>32717</v>
      </c>
      <c r="L19" s="49" t="s">
        <v>95</v>
      </c>
      <c r="M19" s="50" t="s">
        <v>89</v>
      </c>
      <c r="N19" s="50" t="s">
        <v>90</v>
      </c>
      <c r="O19" s="51" t="s">
        <v>91</v>
      </c>
      <c r="P19" s="52" t="s">
        <v>92</v>
      </c>
    </row>
    <row r="20" spans="1:16" ht="12.75" customHeight="1" thickBot="1">
      <c r="A20" s="8" t="str">
        <f t="shared" si="0"/>
        <v>VSB 44 </v>
      </c>
      <c r="B20" s="3" t="str">
        <f t="shared" si="1"/>
        <v>I</v>
      </c>
      <c r="C20" s="8">
        <f t="shared" si="2"/>
        <v>53717.209300000002</v>
      </c>
      <c r="D20" s="10" t="str">
        <f t="shared" si="3"/>
        <v>vis</v>
      </c>
      <c r="E20" s="48">
        <f>VLOOKUP(C20,Active!C$21:E$973,3,FALSE)</f>
        <v>1489.9997071348278</v>
      </c>
      <c r="F20" s="3" t="s">
        <v>61</v>
      </c>
      <c r="G20" s="10" t="str">
        <f t="shared" si="4"/>
        <v>53717.2093</v>
      </c>
      <c r="H20" s="8">
        <f t="shared" si="5"/>
        <v>32723</v>
      </c>
      <c r="I20" s="49" t="s">
        <v>96</v>
      </c>
      <c r="J20" s="50" t="s">
        <v>97</v>
      </c>
      <c r="K20" s="49">
        <v>32723</v>
      </c>
      <c r="L20" s="49" t="s">
        <v>98</v>
      </c>
      <c r="M20" s="50" t="s">
        <v>89</v>
      </c>
      <c r="N20" s="50" t="s">
        <v>90</v>
      </c>
      <c r="O20" s="51" t="s">
        <v>91</v>
      </c>
      <c r="P20" s="52" t="s">
        <v>92</v>
      </c>
    </row>
    <row r="21" spans="1:16" ht="12.75" customHeight="1" thickBot="1">
      <c r="A21" s="8" t="str">
        <f t="shared" si="0"/>
        <v>VSB 53 </v>
      </c>
      <c r="B21" s="3" t="str">
        <f t="shared" si="1"/>
        <v>I</v>
      </c>
      <c r="C21" s="8">
        <f t="shared" si="2"/>
        <v>55567.111299999997</v>
      </c>
      <c r="D21" s="10" t="str">
        <f t="shared" si="3"/>
        <v>vis</v>
      </c>
      <c r="E21" s="48">
        <f>VLOOKUP(C21,Active!C$21:E$973,3,FALSE)</f>
        <v>3754.9323050468001</v>
      </c>
      <c r="F21" s="3" t="s">
        <v>61</v>
      </c>
      <c r="G21" s="10" t="str">
        <f t="shared" si="4"/>
        <v>55567.1113</v>
      </c>
      <c r="H21" s="8">
        <f t="shared" si="5"/>
        <v>34988</v>
      </c>
      <c r="I21" s="49" t="s">
        <v>99</v>
      </c>
      <c r="J21" s="50" t="s">
        <v>100</v>
      </c>
      <c r="K21" s="49">
        <v>34988</v>
      </c>
      <c r="L21" s="49" t="s">
        <v>101</v>
      </c>
      <c r="M21" s="50" t="s">
        <v>83</v>
      </c>
      <c r="N21" s="50" t="s">
        <v>61</v>
      </c>
      <c r="O21" s="51" t="s">
        <v>102</v>
      </c>
      <c r="P21" s="52" t="s">
        <v>103</v>
      </c>
    </row>
    <row r="22" spans="1:16" ht="12.75" customHeight="1" thickBot="1">
      <c r="A22" s="8" t="str">
        <f t="shared" si="0"/>
        <v>VSB 56 </v>
      </c>
      <c r="B22" s="3" t="str">
        <f t="shared" si="1"/>
        <v>I</v>
      </c>
      <c r="C22" s="8">
        <f t="shared" si="2"/>
        <v>56641.115100000003</v>
      </c>
      <c r="D22" s="10" t="str">
        <f t="shared" si="3"/>
        <v>vis</v>
      </c>
      <c r="E22" s="48">
        <f>VLOOKUP(C22,Active!C$21:E$973,3,FALSE)</f>
        <v>5069.8918093347838</v>
      </c>
      <c r="F22" s="3" t="s">
        <v>61</v>
      </c>
      <c r="G22" s="10" t="str">
        <f t="shared" si="4"/>
        <v>56641.1151</v>
      </c>
      <c r="H22" s="8">
        <f t="shared" si="5"/>
        <v>36303</v>
      </c>
      <c r="I22" s="49" t="s">
        <v>109</v>
      </c>
      <c r="J22" s="50" t="s">
        <v>110</v>
      </c>
      <c r="K22" s="49">
        <v>36303</v>
      </c>
      <c r="L22" s="49" t="s">
        <v>111</v>
      </c>
      <c r="M22" s="50" t="s">
        <v>83</v>
      </c>
      <c r="N22" s="50" t="s">
        <v>61</v>
      </c>
      <c r="O22" s="51" t="s">
        <v>102</v>
      </c>
      <c r="P22" s="52" t="s">
        <v>112</v>
      </c>
    </row>
    <row r="23" spans="1:16">
      <c r="B23" s="3"/>
      <c r="E23" s="48"/>
      <c r="F23" s="3"/>
    </row>
    <row r="24" spans="1:16">
      <c r="B24" s="3"/>
      <c r="E24" s="48"/>
      <c r="F24" s="3"/>
    </row>
    <row r="25" spans="1:16">
      <c r="B25" s="3"/>
      <c r="E25" s="48"/>
      <c r="F25" s="3"/>
    </row>
    <row r="26" spans="1:16">
      <c r="B26" s="3"/>
      <c r="E26" s="48"/>
      <c r="F26" s="3"/>
    </row>
    <row r="27" spans="1:16">
      <c r="B27" s="3"/>
      <c r="E27" s="48"/>
      <c r="F27" s="3"/>
    </row>
    <row r="28" spans="1:16">
      <c r="B28" s="3"/>
      <c r="E28" s="48"/>
      <c r="F28" s="3"/>
    </row>
    <row r="29" spans="1:16">
      <c r="B29" s="3"/>
      <c r="E29" s="48"/>
      <c r="F29" s="3"/>
    </row>
    <row r="30" spans="1:16">
      <c r="B30" s="3"/>
      <c r="E30" s="48"/>
      <c r="F30" s="3"/>
    </row>
    <row r="31" spans="1:16">
      <c r="B31" s="3"/>
      <c r="E31" s="48"/>
      <c r="F31" s="3"/>
    </row>
    <row r="32" spans="1:16">
      <c r="B32" s="3"/>
      <c r="E32" s="48"/>
      <c r="F32" s="3"/>
    </row>
    <row r="33" spans="2:6">
      <c r="B33" s="3"/>
      <c r="E33" s="48"/>
      <c r="F33" s="3"/>
    </row>
    <row r="34" spans="2:6">
      <c r="B34" s="3"/>
      <c r="E34" s="48"/>
      <c r="F34" s="3"/>
    </row>
    <row r="35" spans="2:6">
      <c r="B35" s="3"/>
      <c r="E35" s="48"/>
      <c r="F35" s="3"/>
    </row>
    <row r="36" spans="2:6">
      <c r="B36" s="3"/>
      <c r="E36" s="48"/>
      <c r="F36" s="3"/>
    </row>
    <row r="37" spans="2:6">
      <c r="B37" s="3"/>
      <c r="E37" s="48"/>
      <c r="F37" s="3"/>
    </row>
    <row r="38" spans="2:6">
      <c r="B38" s="3"/>
      <c r="E38" s="48"/>
      <c r="F38" s="3"/>
    </row>
    <row r="39" spans="2:6">
      <c r="B39" s="3"/>
      <c r="E39" s="48"/>
      <c r="F39" s="3"/>
    </row>
    <row r="40" spans="2:6">
      <c r="B40" s="3"/>
      <c r="E40" s="48"/>
      <c r="F40" s="3"/>
    </row>
    <row r="41" spans="2:6">
      <c r="B41" s="3"/>
      <c r="E41" s="48"/>
      <c r="F41" s="3"/>
    </row>
    <row r="42" spans="2:6">
      <c r="B42" s="3"/>
      <c r="E42" s="48"/>
      <c r="F42" s="3"/>
    </row>
    <row r="43" spans="2:6">
      <c r="B43" s="3"/>
      <c r="E43" s="48"/>
      <c r="F43" s="3"/>
    </row>
    <row r="44" spans="2:6">
      <c r="B44" s="3"/>
      <c r="E44" s="48"/>
      <c r="F44" s="3"/>
    </row>
    <row r="45" spans="2:6">
      <c r="B45" s="3"/>
      <c r="E45" s="48"/>
      <c r="F45" s="3"/>
    </row>
    <row r="46" spans="2:6">
      <c r="B46" s="3"/>
      <c r="E46" s="48"/>
      <c r="F46" s="3"/>
    </row>
    <row r="47" spans="2:6">
      <c r="B47" s="3"/>
      <c r="E47" s="48"/>
      <c r="F47" s="3"/>
    </row>
    <row r="48" spans="2:6">
      <c r="B48" s="3"/>
      <c r="E48" s="48"/>
      <c r="F48" s="3"/>
    </row>
    <row r="49" spans="2:6">
      <c r="B49" s="3"/>
      <c r="E49" s="48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</sheetData>
  <phoneticPr fontId="7" type="noConversion"/>
  <hyperlinks>
    <hyperlink ref="P18" r:id="rId1" display="http://vsolj.cetus-net.org/no44.pdf"/>
    <hyperlink ref="P19" r:id="rId2" display="http://vsolj.cetus-net.org/no44.pdf"/>
    <hyperlink ref="P20" r:id="rId3" display="http://vsolj.cetus-net.org/no44.pdf"/>
    <hyperlink ref="P21" r:id="rId4" display="http://vsolj.cetus-net.org/vsoljno53.pdf"/>
    <hyperlink ref="P12" r:id="rId5" display="http://www.konkoly.hu/cgi-bin/IBVS?6029"/>
    <hyperlink ref="P22" r:id="rId6" display="http://vsolj.cetus-net.org/vsoljno56.pdf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39</v>
      </c>
    </row>
    <row r="2" spans="1:7">
      <c r="A2" t="s">
        <v>23</v>
      </c>
      <c r="B2" s="28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29" t="s">
        <v>41</v>
      </c>
      <c r="D4" s="30" t="s">
        <v>41</v>
      </c>
    </row>
    <row r="6" spans="1:7">
      <c r="A6" s="5" t="s">
        <v>1</v>
      </c>
    </row>
    <row r="7" spans="1:7">
      <c r="A7" t="s">
        <v>2</v>
      </c>
      <c r="C7" s="8">
        <v>52500.24</v>
      </c>
      <c r="D7" s="31"/>
    </row>
    <row r="8" spans="1:7">
      <c r="A8" t="s">
        <v>3</v>
      </c>
      <c r="C8" s="8">
        <v>1.6334690000000001</v>
      </c>
      <c r="D8" s="31" t="s">
        <v>51</v>
      </c>
    </row>
    <row r="9" spans="1:7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1.5488552924968368E-2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1.3214637050198986E-5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60374.557140625002</v>
      </c>
    </row>
    <row r="15" spans="1:7">
      <c r="A15" s="12" t="s">
        <v>17</v>
      </c>
      <c r="B15" s="10"/>
      <c r="C15" s="13">
        <f ca="1">(C7+C11)+(C8+C12)*INT(MAX(F21:F3533))</f>
        <v>56856.752554989936</v>
      </c>
      <c r="D15" s="14" t="s">
        <v>37</v>
      </c>
      <c r="E15" s="15">
        <f ca="1">ROUND(2*(E14-$C$7)/$C$8,0)/2+E13</f>
        <v>4821.5</v>
      </c>
    </row>
    <row r="16" spans="1:7">
      <c r="A16" s="16" t="s">
        <v>4</v>
      </c>
      <c r="B16" s="10"/>
      <c r="C16" s="17">
        <f ca="1">+C8+C12</f>
        <v>1.6334822146370502</v>
      </c>
      <c r="D16" s="14" t="s">
        <v>38</v>
      </c>
      <c r="E16" s="24">
        <f ca="1">ROUND(2*(E14-$C$15)/$C$16,0)/2+E13</f>
        <v>2154.5</v>
      </c>
    </row>
    <row r="17" spans="1:18" ht="13.5" thickBot="1">
      <c r="A17" s="14" t="s">
        <v>28</v>
      </c>
      <c r="B17" s="10"/>
      <c r="C17" s="10">
        <f>COUNT(C21:C2191)</f>
        <v>8</v>
      </c>
      <c r="D17" s="14" t="s">
        <v>32</v>
      </c>
      <c r="E17" s="18">
        <f ca="1">+$C$15+$C$16*E16-15018.5-$C$9/24</f>
        <v>45357.256653092125</v>
      </c>
    </row>
    <row r="18" spans="1:18" ht="14.25" thickTop="1" thickBot="1">
      <c r="A18" s="16" t="s">
        <v>5</v>
      </c>
      <c r="B18" s="10"/>
      <c r="C18" s="19">
        <f ca="1">+C15</f>
        <v>56856.752554989936</v>
      </c>
      <c r="D18" s="20">
        <f ca="1">+C16</f>
        <v>1.6334822146370502</v>
      </c>
      <c r="E18" s="21" t="s">
        <v>33</v>
      </c>
    </row>
    <row r="19" spans="1:18" ht="13.5" thickTop="1">
      <c r="A19" s="25" t="s">
        <v>34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47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>
      <c r="A21" s="31" t="s">
        <v>44</v>
      </c>
      <c r="C21" s="8">
        <v>52500.24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1.5488552924968368E-2</v>
      </c>
      <c r="Q21" s="2">
        <f t="shared" ref="Q21:Q28" si="4">+C21-15018.5</f>
        <v>37481.74</v>
      </c>
    </row>
    <row r="22" spans="1:18">
      <c r="A22" s="34" t="s">
        <v>45</v>
      </c>
      <c r="B22" s="35" t="s">
        <v>46</v>
      </c>
      <c r="C22" s="36">
        <v>52608.900900000001</v>
      </c>
      <c r="D22" s="36">
        <v>5.0000000000000001E-4</v>
      </c>
      <c r="E22">
        <f t="shared" si="0"/>
        <v>66.521556270735829</v>
      </c>
      <c r="F22">
        <f t="shared" si="1"/>
        <v>66.5</v>
      </c>
      <c r="G22">
        <f t="shared" si="2"/>
        <v>3.5211500005971175E-2</v>
      </c>
      <c r="J22">
        <f>+G22</f>
        <v>3.5211500005971175E-2</v>
      </c>
      <c r="O22">
        <f t="shared" ca="1" si="3"/>
        <v>1.6367326288806602E-2</v>
      </c>
      <c r="Q22" s="2">
        <f t="shared" si="4"/>
        <v>37590.400900000001</v>
      </c>
    </row>
    <row r="23" spans="1:18">
      <c r="A23" s="32" t="s">
        <v>42</v>
      </c>
      <c r="B23" s="33" t="s">
        <v>43</v>
      </c>
      <c r="C23" s="32">
        <v>55987.7281</v>
      </c>
      <c r="D23" s="32">
        <v>2.0000000000000001E-4</v>
      </c>
      <c r="E23">
        <f t="shared" si="0"/>
        <v>2135.0194585878289</v>
      </c>
      <c r="F23">
        <f t="shared" si="1"/>
        <v>2135</v>
      </c>
      <c r="G23">
        <f t="shared" si="2"/>
        <v>3.1784999999217689E-2</v>
      </c>
      <c r="I23">
        <f>+G23</f>
        <v>3.1784999999217689E-2</v>
      </c>
      <c r="O23">
        <f t="shared" ca="1" si="3"/>
        <v>4.3701803027143202E-2</v>
      </c>
      <c r="Q23" s="2">
        <f t="shared" si="4"/>
        <v>40969.2281</v>
      </c>
    </row>
    <row r="24" spans="1:18">
      <c r="A24" s="37" t="s">
        <v>49</v>
      </c>
      <c r="B24" s="38" t="s">
        <v>46</v>
      </c>
      <c r="C24" s="39">
        <v>56738.306570000001</v>
      </c>
      <c r="D24" s="37">
        <v>4.0000000000000002E-4</v>
      </c>
      <c r="E24">
        <f t="shared" si="0"/>
        <v>2594.5191307579162</v>
      </c>
      <c r="F24">
        <f t="shared" si="1"/>
        <v>2594.5</v>
      </c>
      <c r="G24">
        <f t="shared" si="2"/>
        <v>3.1249500003468711E-2</v>
      </c>
      <c r="J24">
        <f>+G24</f>
        <v>3.1249500003468711E-2</v>
      </c>
      <c r="O24">
        <f t="shared" ca="1" si="3"/>
        <v>4.9773928751709634E-2</v>
      </c>
      <c r="Q24" s="2">
        <f t="shared" si="4"/>
        <v>41719.806570000001</v>
      </c>
    </row>
    <row r="25" spans="1:18">
      <c r="A25" s="37" t="s">
        <v>49</v>
      </c>
      <c r="B25" s="38" t="s">
        <v>46</v>
      </c>
      <c r="C25" s="39">
        <v>56857.570180000002</v>
      </c>
      <c r="D25" s="37">
        <v>1.2999999999999999E-3</v>
      </c>
      <c r="E25">
        <f t="shared" si="0"/>
        <v>2667.5316029872647</v>
      </c>
      <c r="F25">
        <f t="shared" si="1"/>
        <v>2667.5</v>
      </c>
      <c r="G25">
        <f t="shared" si="2"/>
        <v>5.1622500002849847E-2</v>
      </c>
      <c r="J25">
        <f>+G25</f>
        <v>5.1622500002849847E-2</v>
      </c>
      <c r="O25">
        <f t="shared" ca="1" si="3"/>
        <v>5.0738597256374161E-2</v>
      </c>
      <c r="Q25" s="2">
        <f t="shared" si="4"/>
        <v>41839.070180000002</v>
      </c>
    </row>
    <row r="26" spans="1:18">
      <c r="A26" s="37" t="s">
        <v>49</v>
      </c>
      <c r="B26" s="38" t="s">
        <v>46</v>
      </c>
      <c r="C26" s="39">
        <v>56857.577420000001</v>
      </c>
      <c r="D26" s="37">
        <v>1E-3</v>
      </c>
      <c r="E26">
        <f t="shared" si="0"/>
        <v>2667.5360352721741</v>
      </c>
      <c r="F26">
        <f t="shared" si="1"/>
        <v>2667.5</v>
      </c>
      <c r="G26">
        <f t="shared" si="2"/>
        <v>5.8862500001851004E-2</v>
      </c>
      <c r="J26">
        <f>+G26</f>
        <v>5.8862500001851004E-2</v>
      </c>
      <c r="O26">
        <f t="shared" ca="1" si="3"/>
        <v>5.0738597256374161E-2</v>
      </c>
      <c r="Q26" s="2">
        <f t="shared" si="4"/>
        <v>41839.077420000001</v>
      </c>
    </row>
    <row r="27" spans="1:18">
      <c r="A27" s="37" t="s">
        <v>49</v>
      </c>
      <c r="B27" s="38" t="s">
        <v>46</v>
      </c>
      <c r="C27" s="39">
        <v>56857.577680000002</v>
      </c>
      <c r="D27" s="37">
        <v>1.5E-3</v>
      </c>
      <c r="E27">
        <f t="shared" si="0"/>
        <v>2667.5361944426272</v>
      </c>
      <c r="F27">
        <f t="shared" si="1"/>
        <v>2667.5</v>
      </c>
      <c r="G27">
        <f t="shared" si="2"/>
        <v>5.9122500002558809E-2</v>
      </c>
      <c r="J27">
        <f>+G27</f>
        <v>5.9122500002558809E-2</v>
      </c>
      <c r="O27">
        <f t="shared" ca="1" si="3"/>
        <v>5.0738597256374161E-2</v>
      </c>
      <c r="Q27" s="2">
        <f t="shared" si="4"/>
        <v>41839.077680000002</v>
      </c>
    </row>
    <row r="28" spans="1:18">
      <c r="A28" s="37" t="s">
        <v>49</v>
      </c>
      <c r="B28" s="38" t="s">
        <v>46</v>
      </c>
      <c r="C28" s="39">
        <v>56857.578990000002</v>
      </c>
      <c r="D28" s="37">
        <v>1.2999999999999999E-3</v>
      </c>
      <c r="E28">
        <f t="shared" si="0"/>
        <v>2667.5369964168303</v>
      </c>
      <c r="F28">
        <f t="shared" si="1"/>
        <v>2667.5</v>
      </c>
      <c r="G28">
        <f t="shared" si="2"/>
        <v>6.0432500002207235E-2</v>
      </c>
      <c r="J28">
        <f>+G28</f>
        <v>6.0432500002207235E-2</v>
      </c>
      <c r="O28">
        <f t="shared" ca="1" si="3"/>
        <v>5.0738597256374161E-2</v>
      </c>
      <c r="Q28" s="2">
        <f t="shared" si="4"/>
        <v>41839.078990000002</v>
      </c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2024-03-04T06:52:17Z</dcterms:modified>
</cp:coreProperties>
</file>