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A907751-7807-4584-81DE-9557CBB11F3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1" i="1"/>
  <c r="F21" i="1"/>
  <c r="G21" i="1"/>
  <c r="H21" i="1"/>
  <c r="Q22" i="1"/>
  <c r="Q23" i="1"/>
  <c r="Q24" i="1"/>
  <c r="Q25" i="1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9" i="1"/>
  <c r="E9" i="1"/>
  <c r="F16" i="1"/>
  <c r="F17" i="1" s="1"/>
  <c r="C17" i="1"/>
  <c r="Q21" i="1"/>
  <c r="C11" i="1"/>
  <c r="C12" i="1"/>
  <c r="C16" i="1" l="1"/>
  <c r="D18" i="1" s="1"/>
  <c r="O23" i="1"/>
  <c r="O24" i="1"/>
  <c r="O21" i="1"/>
  <c r="C15" i="1"/>
  <c r="F18" i="1" s="1"/>
  <c r="O25" i="1"/>
  <c r="O22" i="1"/>
  <c r="C18" i="1" l="1"/>
  <c r="F19" i="1"/>
</calcChain>
</file>

<file path=xl/sharedStrings.xml><?xml version="1.0" encoding="utf-8"?>
<sst xmlns="http://schemas.openxmlformats.org/spreadsheetml/2006/main" count="105" uniqueCount="76">
  <si>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</si>
  <si>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</si>
  <si>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</si>
  <si>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</si>
  <si>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</si>
  <si>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</si>
  <si>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</si>
  <si>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</si>
  <si>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</si>
  <si>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</si>
  <si>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</si>
  <si>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</si>
  <si>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</si>
  <si>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</si>
  <si>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</si>
  <si>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</si>
  <si>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</si>
  <si>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</si>
  <si>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</si>
  <si>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</si>
  <si>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</si>
  <si>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</si>
  <si>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</si>
  <si>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</si>
  <si>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</si>
  <si>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</si>
  <si>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</si>
  <si>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</si>
  <si>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</si>
  <si>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</si>
  <si>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</si>
  <si>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</si>
  <si>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</si>
  <si>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</si>
  <si>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</si>
  <si>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</si>
  <si>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</si>
  <si>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</si>
  <si>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</si>
  <si>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</si>
  <si>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</si>
  <si>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</si>
  <si>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</si>
  <si>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</si>
  <si>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</si>
  <si>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</si>
  <si>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</si>
  <si>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</si>
  <si>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</si>
  <si>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YY Pup</t>
  </si>
  <si>
    <t>EA</t>
  </si>
  <si>
    <t>GCVS 4</t>
  </si>
  <si>
    <t>YY Pup / GSC 24832.54</t>
  </si>
  <si>
    <t>2424832.540 </t>
  </si>
  <si>
    <t> 13.11.1926 00:57 </t>
  </si>
  <si>
    <t> 0.000 </t>
  </si>
  <si>
    <t> S.Gaposchkin </t>
  </si>
  <si>
    <t> HA 113.76 </t>
  </si>
  <si>
    <t>2426761.098 </t>
  </si>
  <si>
    <t> 23.02.1932 14:21 </t>
  </si>
  <si>
    <t> -0.331 </t>
  </si>
  <si>
    <t>V </t>
  </si>
  <si>
    <t> N.Florja </t>
  </si>
  <si>
    <t> PSMO 8.2.52 </t>
  </si>
  <si>
    <t>2426985.620 </t>
  </si>
  <si>
    <t> 05.10.1932 02:52 </t>
  </si>
  <si>
    <t> 0.552 </t>
  </si>
  <si>
    <t>2427124.88 </t>
  </si>
  <si>
    <t> 21.02.1933 09:07 </t>
  </si>
  <si>
    <t> 0.04 </t>
  </si>
  <si>
    <t> Florja [Kordylew.] </t>
  </si>
  <si>
    <t> SAC 29.110 </t>
  </si>
  <si>
    <t>2427125.130 </t>
  </si>
  <si>
    <t> 21.02.1933 15:07 </t>
  </si>
  <si>
    <t> 0.287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</si>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</sst>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5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Pup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421052631578946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</c:v>
                </c:pt>
                <c:pt idx="2">
                  <c:v>77</c:v>
                </c:pt>
                <c:pt idx="3">
                  <c:v>82</c:v>
                </c:pt>
                <c:pt idx="4">
                  <c:v>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-0.33078999999997905</c:v>
                </c:pt>
                <c:pt idx="2">
                  <c:v>0.55192999999781023</c:v>
                </c:pt>
                <c:pt idx="3">
                  <c:v>3.7380000001576263E-2</c:v>
                </c:pt>
                <c:pt idx="4">
                  <c:v>0.28738000000157626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9B-49D7-BF5B-B01C5468B1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</c:v>
                </c:pt>
                <c:pt idx="2">
                  <c:v>77</c:v>
                </c:pt>
                <c:pt idx="3">
                  <c:v>82</c:v>
                </c:pt>
                <c:pt idx="4">
                  <c:v>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9B-49D7-BF5B-B01C5468B19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</c:v>
                </c:pt>
                <c:pt idx="2">
                  <c:v>77</c:v>
                </c:pt>
                <c:pt idx="3">
                  <c:v>82</c:v>
                </c:pt>
                <c:pt idx="4">
                  <c:v>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9B-49D7-BF5B-B01C5468B19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</c:v>
                </c:pt>
                <c:pt idx="2">
                  <c:v>77</c:v>
                </c:pt>
                <c:pt idx="3">
                  <c:v>82</c:v>
                </c:pt>
                <c:pt idx="4">
                  <c:v>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9B-49D7-BF5B-B01C5468B19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</c:v>
                </c:pt>
                <c:pt idx="2">
                  <c:v>77</c:v>
                </c:pt>
                <c:pt idx="3">
                  <c:v>82</c:v>
                </c:pt>
                <c:pt idx="4">
                  <c:v>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9B-49D7-BF5B-B01C5468B1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</c:v>
                </c:pt>
                <c:pt idx="2">
                  <c:v>77</c:v>
                </c:pt>
                <c:pt idx="3">
                  <c:v>82</c:v>
                </c:pt>
                <c:pt idx="4">
                  <c:v>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9B-49D7-BF5B-B01C5468B1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</c:v>
                </c:pt>
                <c:pt idx="2">
                  <c:v>77</c:v>
                </c:pt>
                <c:pt idx="3">
                  <c:v>82</c:v>
                </c:pt>
                <c:pt idx="4">
                  <c:v>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9B-49D7-BF5B-B01C5468B1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</c:v>
                </c:pt>
                <c:pt idx="2">
                  <c:v>77</c:v>
                </c:pt>
                <c:pt idx="3">
                  <c:v>82</c:v>
                </c:pt>
                <c:pt idx="4">
                  <c:v>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-4.7882716551629553E-2</c:v>
                </c:pt>
                <c:pt idx="1">
                  <c:v>0.1269128873528223</c:v>
                </c:pt>
                <c:pt idx="2">
                  <c:v>0.14717904432725148</c:v>
                </c:pt>
                <c:pt idx="3">
                  <c:v>0.15984539243626977</c:v>
                </c:pt>
                <c:pt idx="4">
                  <c:v>0.15984539243626977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9B-49D7-BF5B-B01C5468B19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</c:v>
                </c:pt>
                <c:pt idx="2">
                  <c:v>77</c:v>
                </c:pt>
                <c:pt idx="3">
                  <c:v>82</c:v>
                </c:pt>
                <c:pt idx="4">
                  <c:v>82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9B-49D7-BF5B-B01C5468B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528280"/>
        <c:axId val="1"/>
      </c:scatterChart>
      <c:valAx>
        <c:axId val="787528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7528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E71C90-F7A0-E8E9-E2CC-D1F9D9770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s="22" customFormat="1" ht="20.25" x14ac:dyDescent="0.2">
      <c r="A1" s="53" t="s">
        <v>52</v>
      </c>
      <c r="F1" s="21" t="s">
        <v>49</v>
      </c>
      <c r="G1" s="5">
        <v>7.3552300000000006</v>
      </c>
      <c r="H1" s="6">
        <v>-19.2331</v>
      </c>
      <c r="I1" s="7">
        <v>24832.54</v>
      </c>
      <c r="J1" s="7">
        <v>27.954910000000002</v>
      </c>
      <c r="K1" s="4" t="s">
        <v>50</v>
      </c>
      <c r="L1" s="6"/>
      <c r="M1" s="7">
        <v>24832.54</v>
      </c>
      <c r="N1" s="7">
        <v>27.954910000000002</v>
      </c>
      <c r="O1" s="8" t="s">
        <v>50</v>
      </c>
    </row>
    <row r="2" spans="1:15" s="22" customFormat="1" ht="12.95" customHeight="1" x14ac:dyDescent="0.2">
      <c r="A2" s="22" t="s">
        <v>23</v>
      </c>
      <c r="B2" s="22" t="s">
        <v>50</v>
      </c>
      <c r="C2" s="23"/>
      <c r="D2" s="24"/>
    </row>
    <row r="3" spans="1:15" s="22" customFormat="1" ht="12.95" customHeight="1" thickBot="1" x14ac:dyDescent="0.25"/>
    <row r="4" spans="1:15" s="22" customFormat="1" ht="12.95" customHeight="1" thickTop="1" thickBot="1" x14ac:dyDescent="0.25">
      <c r="A4" s="25" t="s">
        <v>0</v>
      </c>
      <c r="C4" s="26">
        <v>24832.54</v>
      </c>
      <c r="D4" s="27">
        <v>27.954910000000002</v>
      </c>
    </row>
    <row r="5" spans="1:15" s="22" customFormat="1" ht="12.95" customHeight="1" thickTop="1" x14ac:dyDescent="0.2">
      <c r="A5" s="28" t="s">
        <v>28</v>
      </c>
      <c r="C5" s="29">
        <v>-9.5</v>
      </c>
      <c r="D5" s="22" t="s">
        <v>29</v>
      </c>
    </row>
    <row r="6" spans="1:15" s="22" customFormat="1" ht="12.95" customHeight="1" x14ac:dyDescent="0.2">
      <c r="A6" s="25" t="s">
        <v>1</v>
      </c>
    </row>
    <row r="7" spans="1:15" s="22" customFormat="1" ht="12.95" customHeight="1" x14ac:dyDescent="0.2">
      <c r="A7" s="22" t="s">
        <v>2</v>
      </c>
      <c r="C7" s="54">
        <v>24832.54</v>
      </c>
      <c r="D7" s="31" t="s">
        <v>51</v>
      </c>
    </row>
    <row r="8" spans="1:15" s="22" customFormat="1" ht="12.95" customHeight="1" x14ac:dyDescent="0.2">
      <c r="A8" s="22" t="s">
        <v>3</v>
      </c>
      <c r="C8" s="54">
        <v>27.954910000000002</v>
      </c>
      <c r="D8" s="31" t="s">
        <v>51</v>
      </c>
    </row>
    <row r="9" spans="1:15" s="22" customFormat="1" ht="12.95" customHeight="1" x14ac:dyDescent="0.2">
      <c r="A9" s="32" t="s">
        <v>32</v>
      </c>
      <c r="C9" s="33">
        <v>21</v>
      </c>
      <c r="D9" s="34" t="str">
        <f>"F"&amp;C9</f>
        <v>F21</v>
      </c>
      <c r="E9" s="35" t="str">
        <f>"G"&amp;C9</f>
        <v>G21</v>
      </c>
    </row>
    <row r="10" spans="1:15" s="22" customFormat="1" ht="12.95" customHeight="1" thickBot="1" x14ac:dyDescent="0.25">
      <c r="C10" s="36" t="s">
        <v>19</v>
      </c>
      <c r="D10" s="36" t="s">
        <v>20</v>
      </c>
    </row>
    <row r="11" spans="1:15" s="22" customFormat="1" ht="12.95" customHeight="1" x14ac:dyDescent="0.2">
      <c r="A11" s="22" t="s">
        <v>15</v>
      </c>
      <c r="C11" s="35">
        <f ca="1">INTERCEPT(INDIRECT($E$9):G992,INDIRECT($D$9):F992)</f>
        <v>-4.7882716551629553E-2</v>
      </c>
      <c r="D11" s="24"/>
    </row>
    <row r="12" spans="1:15" s="22" customFormat="1" ht="12.95" customHeight="1" x14ac:dyDescent="0.2">
      <c r="A12" s="22" t="s">
        <v>16</v>
      </c>
      <c r="C12" s="35">
        <f ca="1">SLOPE(INDIRECT($E$9):G992,INDIRECT($D$9):F992)</f>
        <v>2.5332696218036501E-3</v>
      </c>
      <c r="D12" s="24"/>
    </row>
    <row r="13" spans="1:15" s="22" customFormat="1" ht="12.95" customHeight="1" x14ac:dyDescent="0.2">
      <c r="A13" s="22" t="s">
        <v>18</v>
      </c>
      <c r="C13" s="24" t="s">
        <v>13</v>
      </c>
    </row>
    <row r="14" spans="1:15" s="22" customFormat="1" ht="12.95" customHeight="1" x14ac:dyDescent="0.2"/>
    <row r="15" spans="1:15" s="22" customFormat="1" ht="12.95" customHeight="1" x14ac:dyDescent="0.2">
      <c r="A15" s="37" t="s">
        <v>17</v>
      </c>
      <c r="C15" s="38">
        <f ca="1">(C7+C11)+(C8+C12)*INT(MAX(F21:F3533))</f>
        <v>27125.002465392434</v>
      </c>
      <c r="E15" s="39" t="s">
        <v>34</v>
      </c>
      <c r="F15" s="40">
        <v>1</v>
      </c>
    </row>
    <row r="16" spans="1:15" s="22" customFormat="1" ht="12.95" customHeight="1" x14ac:dyDescent="0.2">
      <c r="A16" s="25" t="s">
        <v>4</v>
      </c>
      <c r="C16" s="41">
        <f ca="1">+C8+C12</f>
        <v>27.957443269621805</v>
      </c>
      <c r="E16" s="39" t="s">
        <v>30</v>
      </c>
      <c r="F16" s="41">
        <f ca="1">NOW()+15018.5+$C$5/24</f>
        <v>60373.831782060181</v>
      </c>
    </row>
    <row r="17" spans="1:18" s="22" customFormat="1" ht="12.95" customHeight="1" thickBot="1" x14ac:dyDescent="0.25">
      <c r="A17" s="39" t="s">
        <v>27</v>
      </c>
      <c r="C17" s="22">
        <f>COUNT(C21:C2191)</f>
        <v>5</v>
      </c>
      <c r="E17" s="39" t="s">
        <v>35</v>
      </c>
      <c r="F17" s="42">
        <f ca="1">ROUND(2*(F16-$C$7)/$C$8,0)/2+F15</f>
        <v>1272.5</v>
      </c>
    </row>
    <row r="18" spans="1:18" s="22" customFormat="1" ht="12.95" customHeight="1" thickTop="1" thickBot="1" x14ac:dyDescent="0.25">
      <c r="A18" s="25" t="s">
        <v>5</v>
      </c>
      <c r="C18" s="43">
        <f ca="1">+C15</f>
        <v>27125.002465392434</v>
      </c>
      <c r="D18" s="44">
        <f ca="1">+C16</f>
        <v>27.957443269621805</v>
      </c>
      <c r="E18" s="39" t="s">
        <v>36</v>
      </c>
      <c r="F18" s="35">
        <f ca="1">ROUND(2*(F16-$C$15)/$C$16,0)/2+F15</f>
        <v>1190.5</v>
      </c>
    </row>
    <row r="19" spans="1:18" s="22" customFormat="1" ht="12.95" customHeight="1" thickTop="1" x14ac:dyDescent="0.2">
      <c r="E19" s="39" t="s">
        <v>31</v>
      </c>
      <c r="F19" s="45">
        <f ca="1">+$C$15+$C$16*F18-15018.5-$C$5/24</f>
        <v>45390.234511210532</v>
      </c>
    </row>
    <row r="20" spans="1:18" s="22" customFormat="1" ht="12.95" customHeight="1" thickBot="1" x14ac:dyDescent="0.25">
      <c r="A20" s="36" t="s">
        <v>6</v>
      </c>
      <c r="B20" s="36" t="s">
        <v>7</v>
      </c>
      <c r="C20" s="36" t="s">
        <v>8</v>
      </c>
      <c r="D20" s="36" t="s">
        <v>12</v>
      </c>
      <c r="E20" s="36" t="s">
        <v>9</v>
      </c>
      <c r="F20" s="36" t="s">
        <v>10</v>
      </c>
      <c r="G20" s="36" t="s">
        <v>11</v>
      </c>
      <c r="H20" s="46" t="s">
        <v>37</v>
      </c>
      <c r="I20" s="46" t="s">
        <v>38</v>
      </c>
      <c r="J20" s="46" t="s">
        <v>39</v>
      </c>
      <c r="K20" s="46" t="s">
        <v>40</v>
      </c>
      <c r="L20" s="46" t="s">
        <v>24</v>
      </c>
      <c r="M20" s="46" t="s">
        <v>25</v>
      </c>
      <c r="N20" s="46" t="s">
        <v>26</v>
      </c>
      <c r="O20" s="46" t="s">
        <v>22</v>
      </c>
      <c r="P20" s="47" t="s">
        <v>21</v>
      </c>
      <c r="Q20" s="36" t="s">
        <v>14</v>
      </c>
      <c r="R20" s="48" t="s">
        <v>33</v>
      </c>
    </row>
    <row r="21" spans="1:18" s="22" customFormat="1" ht="12.95" customHeight="1" x14ac:dyDescent="0.2">
      <c r="A21" s="22" t="s">
        <v>51</v>
      </c>
      <c r="C21" s="30">
        <v>24832.54</v>
      </c>
      <c r="D21" s="30" t="s">
        <v>13</v>
      </c>
      <c r="E21" s="22">
        <f>+(C21-C$7)/C$8</f>
        <v>0</v>
      </c>
      <c r="F21" s="22">
        <f>ROUND(2*E21,0)/2</f>
        <v>0</v>
      </c>
      <c r="G21" s="22">
        <f>+C21-(C$7+F21*C$8)</f>
        <v>0</v>
      </c>
      <c r="H21" s="22">
        <f>+G21</f>
        <v>0</v>
      </c>
      <c r="O21" s="22">
        <f ca="1">+C$11+C$12*$F21</f>
        <v>-4.7882716551629553E-2</v>
      </c>
      <c r="Q21" s="49">
        <f>+C21-15018.5</f>
        <v>9814.0400000000009</v>
      </c>
    </row>
    <row r="22" spans="1:18" s="22" customFormat="1" ht="12.95" customHeight="1" x14ac:dyDescent="0.2">
      <c r="A22" s="50" t="s">
        <v>63</v>
      </c>
      <c r="B22" s="51" t="s">
        <v>75</v>
      </c>
      <c r="C22" s="52">
        <v>26761.098000000002</v>
      </c>
      <c r="D22" s="30"/>
      <c r="E22" s="22">
        <f>+(C22-C$7)/C$8</f>
        <v>68.988167016098458</v>
      </c>
      <c r="F22" s="22">
        <f>ROUND(2*E22,0)/2</f>
        <v>69</v>
      </c>
      <c r="G22" s="22">
        <f>+C22-(C$7+F22*C$8)</f>
        <v>-0.33078999999997905</v>
      </c>
      <c r="H22" s="22">
        <f>+G22</f>
        <v>-0.33078999999997905</v>
      </c>
      <c r="O22" s="22">
        <f ca="1">+C$11+C$12*$F22</f>
        <v>0.1269128873528223</v>
      </c>
      <c r="Q22" s="49">
        <f>+C22-15018.5</f>
        <v>11742.598000000002</v>
      </c>
    </row>
    <row r="23" spans="1:18" s="22" customFormat="1" ht="12.95" customHeight="1" x14ac:dyDescent="0.2">
      <c r="A23" s="50" t="s">
        <v>63</v>
      </c>
      <c r="B23" s="51" t="s">
        <v>75</v>
      </c>
      <c r="C23" s="52">
        <v>26985.62</v>
      </c>
      <c r="D23" s="30"/>
      <c r="E23" s="22">
        <f>+(C23-C$7)/C$8</f>
        <v>77.019743579929184</v>
      </c>
      <c r="F23" s="22">
        <f>ROUND(2*E23,0)/2</f>
        <v>77</v>
      </c>
      <c r="G23" s="22">
        <f>+C23-(C$7+F23*C$8)</f>
        <v>0.55192999999781023</v>
      </c>
      <c r="H23" s="22">
        <f>+G23</f>
        <v>0.55192999999781023</v>
      </c>
      <c r="O23" s="22">
        <f ca="1">+C$11+C$12*$F23</f>
        <v>0.14717904432725148</v>
      </c>
      <c r="Q23" s="49">
        <f>+C23-15018.5</f>
        <v>11967.119999999999</v>
      </c>
    </row>
    <row r="24" spans="1:18" s="22" customFormat="1" ht="12.95" customHeight="1" x14ac:dyDescent="0.2">
      <c r="A24" s="50" t="s">
        <v>71</v>
      </c>
      <c r="B24" s="51" t="s">
        <v>75</v>
      </c>
      <c r="C24" s="52">
        <v>27124.880000000001</v>
      </c>
      <c r="D24" s="30"/>
      <c r="E24" s="22">
        <f>+(C24-C$7)/C$8</f>
        <v>82.001337153294358</v>
      </c>
      <c r="F24" s="22">
        <f>ROUND(2*E24,0)/2</f>
        <v>82</v>
      </c>
      <c r="G24" s="22">
        <f>+C24-(C$7+F24*C$8)</f>
        <v>3.7380000001576263E-2</v>
      </c>
      <c r="H24" s="22">
        <f>+G24</f>
        <v>3.7380000001576263E-2</v>
      </c>
      <c r="O24" s="22">
        <f ca="1">+C$11+C$12*$F24</f>
        <v>0.15984539243626977</v>
      </c>
      <c r="Q24" s="49">
        <f>+C24-15018.5</f>
        <v>12106.380000000001</v>
      </c>
    </row>
    <row r="25" spans="1:18" s="22" customFormat="1" ht="12.95" customHeight="1" x14ac:dyDescent="0.2">
      <c r="A25" s="50" t="s">
        <v>63</v>
      </c>
      <c r="B25" s="51" t="s">
        <v>75</v>
      </c>
      <c r="C25" s="52">
        <v>27125.13</v>
      </c>
      <c r="D25" s="30"/>
      <c r="E25" s="22">
        <f>+(C25-C$7)/C$8</f>
        <v>82.010280126103069</v>
      </c>
      <c r="F25" s="22">
        <f>ROUND(2*E25,0)/2</f>
        <v>82</v>
      </c>
      <c r="G25" s="22">
        <f>+C25-(C$7+F25*C$8)</f>
        <v>0.28738000000157626</v>
      </c>
      <c r="H25" s="22">
        <f>+G25</f>
        <v>0.28738000000157626</v>
      </c>
      <c r="O25" s="22">
        <f ca="1">+C$11+C$12*$F25</f>
        <v>0.15984539243626977</v>
      </c>
      <c r="Q25" s="49">
        <f>+C25-15018.5</f>
        <v>12106.630000000001</v>
      </c>
    </row>
    <row r="26" spans="1:18" s="22" customFormat="1" ht="12.95" customHeight="1" x14ac:dyDescent="0.2">
      <c r="C26" s="30"/>
      <c r="D26" s="30"/>
      <c r="Q26" s="49"/>
    </row>
    <row r="27" spans="1:18" s="22" customFormat="1" ht="12.95" customHeight="1" x14ac:dyDescent="0.2">
      <c r="C27" s="30"/>
      <c r="D27" s="30"/>
      <c r="Q27" s="49"/>
    </row>
    <row r="28" spans="1:18" s="22" customFormat="1" ht="12.95" customHeight="1" x14ac:dyDescent="0.2">
      <c r="C28" s="30"/>
      <c r="D28" s="30"/>
      <c r="Q28" s="49"/>
    </row>
    <row r="29" spans="1:18" s="22" customFormat="1" ht="12.95" customHeight="1" x14ac:dyDescent="0.2">
      <c r="C29" s="30"/>
      <c r="D29" s="30"/>
      <c r="Q29" s="49"/>
    </row>
    <row r="30" spans="1:18" s="22" customFormat="1" ht="12.95" customHeight="1" x14ac:dyDescent="0.2">
      <c r="C30" s="30"/>
      <c r="D30" s="30"/>
      <c r="Q30" s="49"/>
    </row>
    <row r="31" spans="1:18" s="22" customFormat="1" ht="12.95" customHeight="1" x14ac:dyDescent="0.2">
      <c r="C31" s="30"/>
      <c r="D31" s="30"/>
      <c r="Q31" s="49"/>
    </row>
    <row r="32" spans="1:18" s="22" customFormat="1" ht="12.95" customHeight="1" x14ac:dyDescent="0.2">
      <c r="C32" s="30"/>
      <c r="D32" s="30"/>
      <c r="Q32" s="49"/>
    </row>
    <row r="33" spans="3:17" s="22" customFormat="1" ht="12.95" customHeight="1" x14ac:dyDescent="0.2">
      <c r="C33" s="30"/>
      <c r="D33" s="30"/>
      <c r="Q33" s="49"/>
    </row>
    <row r="34" spans="3:17" s="22" customFormat="1" ht="12.95" customHeight="1" x14ac:dyDescent="0.2">
      <c r="C34" s="30"/>
      <c r="D34" s="30"/>
    </row>
    <row r="35" spans="3:17" s="22" customFormat="1" ht="12.95" customHeight="1" x14ac:dyDescent="0.2">
      <c r="C35" s="30"/>
      <c r="D35" s="30"/>
    </row>
    <row r="36" spans="3:17" s="22" customFormat="1" ht="12.95" customHeight="1" x14ac:dyDescent="0.2">
      <c r="C36" s="30"/>
      <c r="D36" s="30"/>
    </row>
    <row r="37" spans="3:17" s="22" customFormat="1" ht="12.95" customHeight="1" x14ac:dyDescent="0.2">
      <c r="C37" s="30"/>
      <c r="D37" s="30"/>
    </row>
    <row r="38" spans="3:17" s="22" customFormat="1" ht="12.95" customHeight="1" x14ac:dyDescent="0.2">
      <c r="C38" s="30"/>
      <c r="D38" s="30"/>
    </row>
    <row r="39" spans="3:17" s="22" customFormat="1" ht="12.95" customHeight="1" x14ac:dyDescent="0.2">
      <c r="C39" s="30"/>
      <c r="D39" s="30"/>
    </row>
    <row r="40" spans="3:17" s="22" customFormat="1" ht="12.95" customHeight="1" x14ac:dyDescent="0.2">
      <c r="C40" s="30"/>
      <c r="D40" s="30"/>
    </row>
    <row r="41" spans="3:17" s="22" customFormat="1" ht="12.95" customHeight="1" x14ac:dyDescent="0.2">
      <c r="C41" s="30"/>
      <c r="D41" s="30"/>
    </row>
    <row r="42" spans="3:17" s="22" customFormat="1" ht="12.95" customHeight="1" x14ac:dyDescent="0.2">
      <c r="C42" s="30"/>
      <c r="D42" s="30"/>
    </row>
    <row r="43" spans="3:17" s="22" customFormat="1" ht="12.95" customHeight="1" x14ac:dyDescent="0.2">
      <c r="C43" s="30"/>
      <c r="D43" s="30"/>
    </row>
    <row r="44" spans="3:17" s="22" customFormat="1" ht="12.95" customHeight="1" x14ac:dyDescent="0.2">
      <c r="C44" s="30"/>
      <c r="D44" s="30"/>
    </row>
    <row r="45" spans="3:17" s="22" customFormat="1" ht="12.95" customHeight="1" x14ac:dyDescent="0.2">
      <c r="C45" s="30"/>
      <c r="D45" s="30"/>
    </row>
    <row r="46" spans="3:17" s="22" customFormat="1" ht="12.95" customHeight="1" x14ac:dyDescent="0.2">
      <c r="C46" s="30"/>
      <c r="D46" s="30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1"/>
  <sheetViews>
    <sheetView workbookViewId="0">
      <selection activeCell="A12" sqref="A12:C15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9" t="s">
        <v>41</v>
      </c>
      <c r="I1" s="10" t="s">
        <v>42</v>
      </c>
      <c r="J1" s="11" t="s">
        <v>40</v>
      </c>
    </row>
    <row r="2" spans="1:16" x14ac:dyDescent="0.2">
      <c r="I2" s="12" t="s">
        <v>43</v>
      </c>
      <c r="J2" s="13" t="s">
        <v>39</v>
      </c>
    </row>
    <row r="3" spans="1:16" x14ac:dyDescent="0.2">
      <c r="A3" s="14" t="s">
        <v>44</v>
      </c>
      <c r="I3" s="12" t="s">
        <v>45</v>
      </c>
      <c r="J3" s="13" t="s">
        <v>37</v>
      </c>
    </row>
    <row r="4" spans="1:16" x14ac:dyDescent="0.2">
      <c r="I4" s="12" t="s">
        <v>46</v>
      </c>
      <c r="J4" s="13" t="s">
        <v>37</v>
      </c>
    </row>
    <row r="5" spans="1:16" ht="13.5" thickBot="1" x14ac:dyDescent="0.25">
      <c r="I5" s="15" t="s">
        <v>47</v>
      </c>
      <c r="J5" s="16" t="s">
        <v>38</v>
      </c>
    </row>
    <row r="10" spans="1:16" ht="13.5" thickBot="1" x14ac:dyDescent="0.25"/>
    <row r="11" spans="1:16" ht="12.75" customHeight="1" thickBot="1" x14ac:dyDescent="0.25">
      <c r="A11" s="2" t="str">
        <f>P11</f>
        <v> HA 113.76 </v>
      </c>
      <c r="B11" s="1" t="str">
        <f>IF(H11=INT(H11),"I","II")</f>
        <v>I</v>
      </c>
      <c r="C11" s="2">
        <f>1*G11</f>
        <v>24832.54</v>
      </c>
      <c r="D11" s="3" t="str">
        <f>VLOOKUP(F11,I$1:J$5,2,FALSE)</f>
        <v>vis</v>
      </c>
      <c r="E11" s="17">
        <f>VLOOKUP(C11,Active!C$21:E$973,3,FALSE)</f>
        <v>0</v>
      </c>
      <c r="F11" s="1" t="s">
        <v>47</v>
      </c>
      <c r="G11" s="3" t="str">
        <f>MID(I11,3,LEN(I11)-3)</f>
        <v>24832.540</v>
      </c>
      <c r="H11" s="2">
        <f>1*K11</f>
        <v>0</v>
      </c>
      <c r="I11" s="18" t="s">
        <v>53</v>
      </c>
      <c r="J11" s="19" t="s">
        <v>54</v>
      </c>
      <c r="K11" s="18">
        <v>0</v>
      </c>
      <c r="L11" s="18" t="s">
        <v>55</v>
      </c>
      <c r="M11" s="19" t="s">
        <v>48</v>
      </c>
      <c r="N11" s="19"/>
      <c r="O11" s="20" t="s">
        <v>56</v>
      </c>
      <c r="P11" s="20" t="s">
        <v>57</v>
      </c>
    </row>
    <row r="12" spans="1:16" ht="12.75" customHeight="1" thickBot="1" x14ac:dyDescent="0.25">
      <c r="A12" s="2" t="str">
        <f>P12</f>
        <v> PSMO 8.2.52 </v>
      </c>
      <c r="B12" s="1" t="str">
        <f>IF(H12=INT(H12),"I","II")</f>
        <v>I</v>
      </c>
      <c r="C12" s="2">
        <f>1*G12</f>
        <v>26761.098000000002</v>
      </c>
      <c r="D12" s="3" t="str">
        <f>VLOOKUP(F12,I$1:J$5,2,FALSE)</f>
        <v>vis</v>
      </c>
      <c r="E12" s="17">
        <f>VLOOKUP(C12,Active!C$21:E$973,3,FALSE)</f>
        <v>68.988167016098458</v>
      </c>
      <c r="F12" s="1" t="s">
        <v>47</v>
      </c>
      <c r="G12" s="3" t="str">
        <f>MID(I12,3,LEN(I12)-3)</f>
        <v>26761.098</v>
      </c>
      <c r="H12" s="2">
        <f>1*K12</f>
        <v>69</v>
      </c>
      <c r="I12" s="18" t="s">
        <v>58</v>
      </c>
      <c r="J12" s="19" t="s">
        <v>59</v>
      </c>
      <c r="K12" s="18">
        <v>69</v>
      </c>
      <c r="L12" s="18" t="s">
        <v>60</v>
      </c>
      <c r="M12" s="19" t="s">
        <v>61</v>
      </c>
      <c r="N12" s="19"/>
      <c r="O12" s="20" t="s">
        <v>62</v>
      </c>
      <c r="P12" s="20" t="s">
        <v>63</v>
      </c>
    </row>
    <row r="13" spans="1:16" ht="12.75" customHeight="1" thickBot="1" x14ac:dyDescent="0.25">
      <c r="A13" s="2" t="str">
        <f>P13</f>
        <v> PSMO 8.2.52 </v>
      </c>
      <c r="B13" s="1" t="str">
        <f>IF(H13=INT(H13),"I","II")</f>
        <v>I</v>
      </c>
      <c r="C13" s="2">
        <f>1*G13</f>
        <v>26985.62</v>
      </c>
      <c r="D13" s="3" t="str">
        <f>VLOOKUP(F13,I$1:J$5,2,FALSE)</f>
        <v>vis</v>
      </c>
      <c r="E13" s="17">
        <f>VLOOKUP(C13,Active!C$21:E$973,3,FALSE)</f>
        <v>77.019743579929184</v>
      </c>
      <c r="F13" s="1" t="s">
        <v>47</v>
      </c>
      <c r="G13" s="3" t="str">
        <f>MID(I13,3,LEN(I13)-3)</f>
        <v>26985.620</v>
      </c>
      <c r="H13" s="2">
        <f>1*K13</f>
        <v>77</v>
      </c>
      <c r="I13" s="18" t="s">
        <v>64</v>
      </c>
      <c r="J13" s="19" t="s">
        <v>65</v>
      </c>
      <c r="K13" s="18">
        <v>77</v>
      </c>
      <c r="L13" s="18" t="s">
        <v>66</v>
      </c>
      <c r="M13" s="19" t="s">
        <v>61</v>
      </c>
      <c r="N13" s="19"/>
      <c r="O13" s="20" t="s">
        <v>62</v>
      </c>
      <c r="P13" s="20" t="s">
        <v>63</v>
      </c>
    </row>
    <row r="14" spans="1:16" ht="12.75" customHeight="1" thickBot="1" x14ac:dyDescent="0.25">
      <c r="A14" s="2" t="str">
        <f>P14</f>
        <v> SAC 29.110 </v>
      </c>
      <c r="B14" s="1" t="str">
        <f>IF(H14=INT(H14),"I","II")</f>
        <v>I</v>
      </c>
      <c r="C14" s="2">
        <f>1*G14</f>
        <v>27124.880000000001</v>
      </c>
      <c r="D14" s="3" t="str">
        <f>VLOOKUP(F14,I$1:J$5,2,FALSE)</f>
        <v>vis</v>
      </c>
      <c r="E14" s="17">
        <f>VLOOKUP(C14,Active!C$21:E$973,3,FALSE)</f>
        <v>82.001337153294358</v>
      </c>
      <c r="F14" s="1" t="s">
        <v>47</v>
      </c>
      <c r="G14" s="3" t="str">
        <f>MID(I14,3,LEN(I14)-3)</f>
        <v>27124.88</v>
      </c>
      <c r="H14" s="2">
        <f>1*K14</f>
        <v>82</v>
      </c>
      <c r="I14" s="18" t="s">
        <v>67</v>
      </c>
      <c r="J14" s="19" t="s">
        <v>68</v>
      </c>
      <c r="K14" s="18">
        <v>82</v>
      </c>
      <c r="L14" s="18" t="s">
        <v>69</v>
      </c>
      <c r="M14" s="19" t="s">
        <v>61</v>
      </c>
      <c r="N14" s="19"/>
      <c r="O14" s="20" t="s">
        <v>70</v>
      </c>
      <c r="P14" s="20" t="s">
        <v>71</v>
      </c>
    </row>
    <row r="15" spans="1:16" ht="12.75" customHeight="1" thickBot="1" x14ac:dyDescent="0.25">
      <c r="A15" s="2" t="str">
        <f>P15</f>
        <v> PSMO 8.2.52 </v>
      </c>
      <c r="B15" s="1" t="str">
        <f>IF(H15=INT(H15),"I","II")</f>
        <v>I</v>
      </c>
      <c r="C15" s="2">
        <f>1*G15</f>
        <v>27125.13</v>
      </c>
      <c r="D15" s="3" t="str">
        <f>VLOOKUP(F15,I$1:J$5,2,FALSE)</f>
        <v>vis</v>
      </c>
      <c r="E15" s="17">
        <f>VLOOKUP(C15,Active!C$21:E$973,3,FALSE)</f>
        <v>82.010280126103069</v>
      </c>
      <c r="F15" s="1" t="s">
        <v>47</v>
      </c>
      <c r="G15" s="3" t="str">
        <f>MID(I15,3,LEN(I15)-3)</f>
        <v>27125.130</v>
      </c>
      <c r="H15" s="2">
        <f>1*K15</f>
        <v>82</v>
      </c>
      <c r="I15" s="18" t="s">
        <v>72</v>
      </c>
      <c r="J15" s="19" t="s">
        <v>73</v>
      </c>
      <c r="K15" s="18">
        <v>82</v>
      </c>
      <c r="L15" s="18" t="s">
        <v>74</v>
      </c>
      <c r="M15" s="19" t="s">
        <v>61</v>
      </c>
      <c r="N15" s="19"/>
      <c r="O15" s="20" t="s">
        <v>62</v>
      </c>
      <c r="P15" s="20" t="s">
        <v>63</v>
      </c>
    </row>
    <row r="16" spans="1:16" x14ac:dyDescent="0.2">
      <c r="B16" s="1"/>
      <c r="E16" s="17"/>
      <c r="F16" s="1"/>
    </row>
    <row r="17" spans="2:6" x14ac:dyDescent="0.2">
      <c r="B17" s="1"/>
      <c r="E17" s="17"/>
      <c r="F17" s="1"/>
    </row>
    <row r="18" spans="2:6" x14ac:dyDescent="0.2">
      <c r="B18" s="1"/>
      <c r="E18" s="17"/>
      <c r="F18" s="1"/>
    </row>
    <row r="19" spans="2:6" x14ac:dyDescent="0.2">
      <c r="B19" s="1"/>
      <c r="E19" s="17"/>
      <c r="F19" s="1"/>
    </row>
    <row r="20" spans="2:6" x14ac:dyDescent="0.2">
      <c r="B20" s="1"/>
      <c r="E20" s="17"/>
      <c r="F20" s="1"/>
    </row>
    <row r="21" spans="2:6" x14ac:dyDescent="0.2">
      <c r="B21" s="1"/>
      <c r="E21" s="17"/>
      <c r="F21" s="1"/>
    </row>
    <row r="22" spans="2:6" x14ac:dyDescent="0.2">
      <c r="B22" s="1"/>
      <c r="E22" s="17"/>
      <c r="F22" s="1"/>
    </row>
    <row r="23" spans="2:6" x14ac:dyDescent="0.2">
      <c r="B23" s="1"/>
      <c r="E23" s="17"/>
      <c r="F23" s="1"/>
    </row>
    <row r="24" spans="2:6" x14ac:dyDescent="0.2">
      <c r="B24" s="1"/>
      <c r="E24" s="17"/>
      <c r="F24" s="1"/>
    </row>
    <row r="25" spans="2:6" x14ac:dyDescent="0.2">
      <c r="B25" s="1"/>
      <c r="E25" s="17"/>
      <c r="F25" s="1"/>
    </row>
    <row r="26" spans="2:6" x14ac:dyDescent="0.2">
      <c r="B26" s="1"/>
      <c r="E26" s="17"/>
      <c r="F26" s="1"/>
    </row>
    <row r="27" spans="2:6" x14ac:dyDescent="0.2">
      <c r="B27" s="1"/>
      <c r="E27" s="17"/>
      <c r="F27" s="1"/>
    </row>
    <row r="28" spans="2:6" x14ac:dyDescent="0.2">
      <c r="B28" s="1"/>
      <c r="E28" s="17"/>
      <c r="F28" s="1"/>
    </row>
    <row r="29" spans="2:6" x14ac:dyDescent="0.2">
      <c r="B29" s="1"/>
      <c r="E29" s="17"/>
      <c r="F29" s="1"/>
    </row>
    <row r="30" spans="2:6" x14ac:dyDescent="0.2">
      <c r="B30" s="1"/>
      <c r="E30" s="17"/>
      <c r="F30" s="1"/>
    </row>
    <row r="31" spans="2:6" x14ac:dyDescent="0.2">
      <c r="B31" s="1"/>
      <c r="E31" s="17"/>
      <c r="F31" s="1"/>
    </row>
    <row r="32" spans="2:6" x14ac:dyDescent="0.2">
      <c r="B32" s="1"/>
      <c r="E32" s="17"/>
      <c r="F32" s="1"/>
    </row>
    <row r="33" spans="2:6" x14ac:dyDescent="0.2">
      <c r="B33" s="1"/>
      <c r="E33" s="17"/>
      <c r="F33" s="1"/>
    </row>
    <row r="34" spans="2:6" x14ac:dyDescent="0.2">
      <c r="B34" s="1"/>
      <c r="E34" s="17"/>
      <c r="F34" s="1"/>
    </row>
    <row r="35" spans="2:6" x14ac:dyDescent="0.2">
      <c r="B35" s="1"/>
      <c r="E35" s="17"/>
      <c r="F35" s="1"/>
    </row>
    <row r="36" spans="2:6" x14ac:dyDescent="0.2">
      <c r="B36" s="1"/>
      <c r="E36" s="17"/>
      <c r="F36" s="1"/>
    </row>
    <row r="37" spans="2:6" x14ac:dyDescent="0.2">
      <c r="B37" s="1"/>
      <c r="E37" s="17"/>
      <c r="F37" s="1"/>
    </row>
    <row r="38" spans="2:6" x14ac:dyDescent="0.2">
      <c r="B38" s="1"/>
      <c r="E38" s="17"/>
      <c r="F38" s="1"/>
    </row>
    <row r="39" spans="2:6" x14ac:dyDescent="0.2">
      <c r="B39" s="1"/>
      <c r="E39" s="17"/>
      <c r="F39" s="1"/>
    </row>
    <row r="40" spans="2:6" x14ac:dyDescent="0.2">
      <c r="B40" s="1"/>
      <c r="E40" s="17"/>
      <c r="F40" s="1"/>
    </row>
    <row r="41" spans="2:6" x14ac:dyDescent="0.2">
      <c r="B41" s="1"/>
      <c r="E41" s="17"/>
      <c r="F41" s="1"/>
    </row>
    <row r="42" spans="2:6" x14ac:dyDescent="0.2">
      <c r="B42" s="1"/>
      <c r="E42" s="17"/>
      <c r="F42" s="1"/>
    </row>
    <row r="43" spans="2:6" x14ac:dyDescent="0.2">
      <c r="B43" s="1"/>
      <c r="E43" s="17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  <row r="826" spans="2:6" x14ac:dyDescent="0.2">
      <c r="B826" s="1"/>
      <c r="F826" s="1"/>
    </row>
    <row r="827" spans="2:6" x14ac:dyDescent="0.2">
      <c r="B827" s="1"/>
      <c r="F827" s="1"/>
    </row>
    <row r="828" spans="2:6" x14ac:dyDescent="0.2">
      <c r="B828" s="1"/>
      <c r="F828" s="1"/>
    </row>
    <row r="829" spans="2:6" x14ac:dyDescent="0.2">
      <c r="B829" s="1"/>
      <c r="F829" s="1"/>
    </row>
    <row r="830" spans="2:6" x14ac:dyDescent="0.2">
      <c r="B830" s="1"/>
      <c r="F830" s="1"/>
    </row>
    <row r="831" spans="2:6" x14ac:dyDescent="0.2">
      <c r="B831" s="1"/>
      <c r="F831" s="1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2024-03-04T06:57:46Z</dcterms:modified>
</cp:coreProperties>
</file>