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4D0E76D-1AF9-428C-9DAF-09887D4402F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J23" i="1"/>
  <c r="D9" i="1"/>
  <c r="C9" i="1"/>
  <c r="Q23" i="1"/>
  <c r="E22" i="1"/>
  <c r="F22" i="1"/>
  <c r="G22" i="1"/>
  <c r="K22" i="1"/>
  <c r="C21" i="1"/>
  <c r="E21" i="1"/>
  <c r="F21" i="1"/>
  <c r="G21" i="1"/>
  <c r="K21" i="1"/>
  <c r="Q22" i="1"/>
  <c r="A21" i="1"/>
  <c r="F16" i="1"/>
  <c r="F17" i="1" s="1"/>
  <c r="C17" i="1"/>
  <c r="Q21" i="1"/>
  <c r="C12" i="1"/>
  <c r="C11" i="1"/>
  <c r="O22" i="1" l="1"/>
  <c r="O23" i="1"/>
  <c r="C15" i="1"/>
  <c r="F18" i="1" s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<sst xmlns="http://schemas.openxmlformats.org/spreadsheetml/2006/main" count="58" uniqueCount="54">
  <si>
    <t>OEJV 0191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</si>
  <si>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</si>
  <si>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</si>
  <si>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</si>
  <si>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</si>
  <si>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</si>
  <si>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</si>
  <si>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</si>
  <si>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</si>
  <si>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</si>
  <si>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</si>
  <si>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</si>
  <si>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</si>
  <si>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</si>
  <si>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</si>
  <si>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</si>
  <si>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</si>
  <si>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</si>
  <si>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</si>
  <si>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</si>
  <si>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</si>
  <si>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</si>
  <si>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</si>
  <si>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</si>
  <si>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</si>
  <si>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</si>
  <si>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</si>
  <si>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</si>
  <si>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</si>
  <si>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</si>
  <si>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</si>
  <si>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</si>
  <si>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</si>
  <si>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</si>
  <si>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</si>
  <si>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</si>
  <si>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</si>
  <si>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</si>
  <si>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</si>
  <si>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</si>
  <si>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</si>
  <si>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</si>
  <si>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V0906 Sco</t>
  </si>
  <si>
    <t>V0906 Sco / GSC 7386-0562</t>
  </si>
  <si>
    <t>Sco_V0906.xls</t>
  </si>
  <si>
    <t>EA/DM</t>
  </si>
  <si>
    <t>Sco</t>
  </si>
  <si>
    <t>G7386-0562</t>
  </si>
  <si>
    <t>Kreiner</t>
  </si>
  <si>
    <t>VSS_2013-01-28</t>
  </si>
  <si>
    <t>II</t>
  </si>
  <si>
    <t>BAD?</t>
  </si>
  <si>
    <t>vis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</si>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</sst>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4" borderId="5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8" fillId="0" borderId="0" xfId="41" applyFont="1" applyAlignment="1">
      <alignment horizontal="center" vertical="center"/>
    </xf>
    <xf numFmtId="0" fontId="30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V0906 Sco-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1274.5</c:v>
                </c:pt>
                <c:pt idx="2">
                  <c:v>1957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F9-4163-9B83-5A53F71576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1274.5</c:v>
                </c:pt>
                <c:pt idx="2">
                  <c:v>1957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F9-4163-9B83-5A53F71576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1274.5</c:v>
                </c:pt>
                <c:pt idx="2">
                  <c:v>1957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5.845969999791123E-2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F9-4163-9B83-5A53F71576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1274.5</c:v>
                </c:pt>
                <c:pt idx="2">
                  <c:v>1957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4.9901450001925696E-2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F9-4163-9B83-5A53F71576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1274.5</c:v>
                </c:pt>
                <c:pt idx="2">
                  <c:v>1957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F9-4163-9B83-5A53F71576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1274.5</c:v>
                </c:pt>
                <c:pt idx="2">
                  <c:v>1957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F9-4163-9B83-5A53F71576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1274.5</c:v>
                </c:pt>
                <c:pt idx="2">
                  <c:v>1957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F9-4163-9B83-5A53F71576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1274.5</c:v>
                </c:pt>
                <c:pt idx="2">
                  <c:v>1957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2.6689241470111702E-3</c:v>
                </c:pt>
                <c:pt idx="1">
                  <c:v>4.2248578858041626E-2</c:v>
                </c:pt>
                <c:pt idx="2">
                  <c:v>6.3443646994784109E-2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F9-4163-9B83-5A53F715766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1274.5</c:v>
                </c:pt>
                <c:pt idx="2">
                  <c:v>1957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F9-4163-9B83-5A53F7157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610616"/>
        <c:axId val="1"/>
      </c:scatterChart>
      <c:valAx>
        <c:axId val="718610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610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9471EB8-A377-A671-3E02-97BA87423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2" customFormat="1" ht="20.25" x14ac:dyDescent="0.2">
      <c r="A1" s="36" t="s">
        <v>43</v>
      </c>
      <c r="E1" s="2" t="s">
        <v>44</v>
      </c>
    </row>
    <row r="2" spans="1:6" s="2" customFormat="1" ht="12.95" customHeight="1" x14ac:dyDescent="0.2">
      <c r="A2" s="2" t="s">
        <v>27</v>
      </c>
      <c r="B2" s="2" t="s">
        <v>45</v>
      </c>
      <c r="C2" s="3" t="s">
        <v>41</v>
      </c>
      <c r="D2" s="4" t="s">
        <v>46</v>
      </c>
      <c r="E2" s="5" t="s">
        <v>42</v>
      </c>
      <c r="F2" s="2" t="s">
        <v>47</v>
      </c>
    </row>
    <row r="3" spans="1:6" s="2" customFormat="1" ht="12.95" customHeight="1" thickBot="1" x14ac:dyDescent="0.25">
      <c r="E3" s="2" t="s">
        <v>47</v>
      </c>
    </row>
    <row r="4" spans="1:6" s="2" customFormat="1" ht="12.95" customHeight="1" thickTop="1" thickBot="1" x14ac:dyDescent="0.25">
      <c r="A4" s="6" t="s">
        <v>4</v>
      </c>
      <c r="C4" s="7" t="s">
        <v>40</v>
      </c>
      <c r="D4" s="8" t="s">
        <v>40</v>
      </c>
    </row>
    <row r="5" spans="1:6" s="2" customFormat="1" ht="12.95" customHeight="1" thickTop="1" x14ac:dyDescent="0.2">
      <c r="A5" s="9" t="s">
        <v>32</v>
      </c>
      <c r="C5" s="10">
        <v>-9.5</v>
      </c>
      <c r="D5" s="2" t="s">
        <v>33</v>
      </c>
    </row>
    <row r="6" spans="1:6" s="2" customFormat="1" ht="12.95" customHeight="1" x14ac:dyDescent="0.2">
      <c r="A6" s="6" t="s">
        <v>5</v>
      </c>
    </row>
    <row r="7" spans="1:6" s="2" customFormat="1" ht="12.95" customHeight="1" x14ac:dyDescent="0.2">
      <c r="A7" s="2" t="s">
        <v>6</v>
      </c>
      <c r="C7" s="37">
        <v>52501.394500000002</v>
      </c>
      <c r="D7" s="12" t="s">
        <v>48</v>
      </c>
    </row>
    <row r="8" spans="1:6" s="2" customFormat="1" ht="12.95" customHeight="1" x14ac:dyDescent="0.2">
      <c r="A8" s="2" t="s">
        <v>7</v>
      </c>
      <c r="C8" s="37">
        <v>2.7859479</v>
      </c>
      <c r="D8" s="12" t="s">
        <v>48</v>
      </c>
    </row>
    <row r="9" spans="1:6" s="2" customFormat="1" ht="12.95" customHeight="1" x14ac:dyDescent="0.2">
      <c r="A9" s="13" t="s">
        <v>36</v>
      </c>
      <c r="B9" s="14">
        <v>21</v>
      </c>
      <c r="C9" s="15" t="str">
        <f>"F"&amp;B9</f>
        <v>F21</v>
      </c>
      <c r="D9" s="16" t="str">
        <f>"G"&amp;B9</f>
        <v>G21</v>
      </c>
    </row>
    <row r="10" spans="1:6" s="2" customFormat="1" ht="12.95" customHeight="1" thickBot="1" x14ac:dyDescent="0.25">
      <c r="C10" s="17" t="s">
        <v>23</v>
      </c>
      <c r="D10" s="17" t="s">
        <v>24</v>
      </c>
    </row>
    <row r="11" spans="1:6" s="2" customFormat="1" ht="12.95" customHeight="1" x14ac:dyDescent="0.2">
      <c r="A11" s="2" t="s">
        <v>19</v>
      </c>
      <c r="C11" s="16">
        <f ca="1">INTERCEPT(INDIRECT($D$9):G992,INDIRECT($C$9):F992)</f>
        <v>2.6689241470111702E-3</v>
      </c>
      <c r="D11" s="4"/>
    </row>
    <row r="12" spans="1:6" s="2" customFormat="1" ht="12.95" customHeight="1" x14ac:dyDescent="0.2">
      <c r="A12" s="2" t="s">
        <v>20</v>
      </c>
      <c r="C12" s="16">
        <f ca="1">SLOPE(INDIRECT($D$9):G992,INDIRECT($C$9):F992)</f>
        <v>3.1055044888999967E-5</v>
      </c>
      <c r="D12" s="4"/>
    </row>
    <row r="13" spans="1:6" s="2" customFormat="1" ht="12.95" customHeight="1" x14ac:dyDescent="0.2">
      <c r="A13" s="2" t="s">
        <v>22</v>
      </c>
      <c r="C13" s="4" t="s">
        <v>17</v>
      </c>
    </row>
    <row r="14" spans="1:6" s="2" customFormat="1" ht="12.95" customHeight="1" x14ac:dyDescent="0.2"/>
    <row r="15" spans="1:6" s="2" customFormat="1" ht="12.95" customHeight="1" x14ac:dyDescent="0.2">
      <c r="A15" s="18" t="s">
        <v>21</v>
      </c>
      <c r="C15" s="19">
        <f ca="1">(C7+C11)+(C8+C12)*INT(MAX(F21:F3533))</f>
        <v>57953.557983947001</v>
      </c>
      <c r="E15" s="20" t="s">
        <v>37</v>
      </c>
      <c r="F15" s="10">
        <v>1</v>
      </c>
    </row>
    <row r="16" spans="1:6" s="2" customFormat="1" ht="12.95" customHeight="1" x14ac:dyDescent="0.2">
      <c r="A16" s="6" t="s">
        <v>8</v>
      </c>
      <c r="C16" s="21">
        <f ca="1">+C8+C12</f>
        <v>2.785978955044889</v>
      </c>
      <c r="E16" s="20" t="s">
        <v>34</v>
      </c>
      <c r="F16" s="22">
        <f ca="1">NOW()+15018.5+$C$5/24</f>
        <v>60374.75280509259</v>
      </c>
    </row>
    <row r="17" spans="1:21" s="2" customFormat="1" ht="12.95" customHeight="1" thickBot="1" x14ac:dyDescent="0.25">
      <c r="A17" s="20" t="s">
        <v>31</v>
      </c>
      <c r="C17" s="2">
        <f>COUNT(C21:C2191)</f>
        <v>3</v>
      </c>
      <c r="E17" s="20" t="s">
        <v>38</v>
      </c>
      <c r="F17" s="22">
        <f ca="1">ROUND(2*(F16-$C$7)/$C$8,0)/2+F15</f>
        <v>2827</v>
      </c>
    </row>
    <row r="18" spans="1:21" s="2" customFormat="1" ht="12.95" customHeight="1" thickTop="1" thickBot="1" x14ac:dyDescent="0.25">
      <c r="A18" s="6" t="s">
        <v>9</v>
      </c>
      <c r="C18" s="23">
        <f ca="1">+C15</f>
        <v>57953.557983947001</v>
      </c>
      <c r="D18" s="24">
        <f ca="1">+C16</f>
        <v>2.785978955044889</v>
      </c>
      <c r="E18" s="20" t="s">
        <v>39</v>
      </c>
      <c r="F18" s="16">
        <f ca="1">ROUND(2*(F16-$C$15)/$C$16,0)/2+F15</f>
        <v>870</v>
      </c>
    </row>
    <row r="19" spans="1:21" s="2" customFormat="1" ht="12.95" customHeight="1" thickTop="1" x14ac:dyDescent="0.2">
      <c r="E19" s="20" t="s">
        <v>35</v>
      </c>
      <c r="F19" s="25">
        <f ca="1">+$C$15+$C$16*F18-15018.5-$C$5/24</f>
        <v>45359.255508169394</v>
      </c>
    </row>
    <row r="20" spans="1:21" s="2" customFormat="1" ht="12.95" customHeight="1" thickBot="1" x14ac:dyDescent="0.25">
      <c r="A20" s="17" t="s">
        <v>10</v>
      </c>
      <c r="B20" s="17" t="s">
        <v>11</v>
      </c>
      <c r="C20" s="17" t="s">
        <v>12</v>
      </c>
      <c r="D20" s="17" t="s">
        <v>16</v>
      </c>
      <c r="E20" s="17" t="s">
        <v>13</v>
      </c>
      <c r="F20" s="17" t="s">
        <v>14</v>
      </c>
      <c r="G20" s="17" t="s">
        <v>15</v>
      </c>
      <c r="H20" s="26" t="s">
        <v>3</v>
      </c>
      <c r="I20" s="26" t="s">
        <v>52</v>
      </c>
      <c r="J20" s="26" t="s">
        <v>53</v>
      </c>
      <c r="K20" s="26" t="s">
        <v>2</v>
      </c>
      <c r="L20" s="26" t="s">
        <v>28</v>
      </c>
      <c r="M20" s="26" t="s">
        <v>29</v>
      </c>
      <c r="N20" s="26" t="s">
        <v>30</v>
      </c>
      <c r="O20" s="26" t="s">
        <v>26</v>
      </c>
      <c r="P20" s="27" t="s">
        <v>25</v>
      </c>
      <c r="Q20" s="17" t="s">
        <v>18</v>
      </c>
      <c r="U20" s="28" t="s">
        <v>51</v>
      </c>
    </row>
    <row r="21" spans="1:21" s="2" customFormat="1" ht="12.95" customHeight="1" x14ac:dyDescent="0.2">
      <c r="A21" s="2" t="str">
        <f>D7</f>
        <v>Kreiner</v>
      </c>
      <c r="C21" s="11">
        <f>C$7</f>
        <v>52501.394500000002</v>
      </c>
      <c r="D21" s="11" t="s">
        <v>17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K21" s="2">
        <f>+G21</f>
        <v>0</v>
      </c>
      <c r="O21" s="2">
        <f ca="1">+C$11+C$12*$F21</f>
        <v>2.6689241470111702E-3</v>
      </c>
      <c r="Q21" s="29">
        <f>+C21-15018.5</f>
        <v>37482.894500000002</v>
      </c>
    </row>
    <row r="22" spans="1:21" s="2" customFormat="1" ht="12.95" customHeight="1" x14ac:dyDescent="0.2">
      <c r="A22" s="30" t="s">
        <v>49</v>
      </c>
      <c r="B22" s="31" t="s">
        <v>50</v>
      </c>
      <c r="C22" s="32">
        <v>56052.135000000002</v>
      </c>
      <c r="D22" s="32">
        <v>5.0000000000000001E-3</v>
      </c>
      <c r="E22" s="2">
        <f>+(C22-C$7)/C$8</f>
        <v>1274.5179118389112</v>
      </c>
      <c r="F22" s="2">
        <f>ROUND(2*E22,0)/2</f>
        <v>1274.5</v>
      </c>
      <c r="G22" s="2">
        <f>+C22-(C$7+F22*C$8)</f>
        <v>4.9901450001925696E-2</v>
      </c>
      <c r="K22" s="2">
        <f>+G22</f>
        <v>4.9901450001925696E-2</v>
      </c>
      <c r="O22" s="2">
        <f ca="1">+C$11+C$12*$F22</f>
        <v>4.2248578858041626E-2</v>
      </c>
      <c r="Q22" s="29">
        <f>+C22-15018.5</f>
        <v>41033.635000000002</v>
      </c>
    </row>
    <row r="23" spans="1:21" s="2" customFormat="1" ht="12.95" customHeight="1" x14ac:dyDescent="0.2">
      <c r="A23" s="33" t="s">
        <v>0</v>
      </c>
      <c r="B23" s="34" t="s">
        <v>1</v>
      </c>
      <c r="C23" s="35">
        <v>57953.553</v>
      </c>
      <c r="D23" s="35">
        <v>0.01</v>
      </c>
      <c r="E23" s="2">
        <f>+(C23-C$7)/C$8</f>
        <v>1957.0209837736008</v>
      </c>
      <c r="F23" s="2">
        <f>ROUND(2*E23,0)/2</f>
        <v>1957</v>
      </c>
      <c r="G23" s="2">
        <f>+C23-(C$7+F23*C$8)</f>
        <v>5.845969999791123E-2</v>
      </c>
      <c r="J23" s="2">
        <f>+G23</f>
        <v>5.845969999791123E-2</v>
      </c>
      <c r="O23" s="2">
        <f ca="1">+C$11+C$12*$F23</f>
        <v>6.3443646994784109E-2</v>
      </c>
      <c r="Q23" s="29">
        <f>+C23-15018.5</f>
        <v>42935.053</v>
      </c>
    </row>
    <row r="24" spans="1:21" s="2" customFormat="1" ht="12.95" customHeight="1" x14ac:dyDescent="0.2">
      <c r="C24" s="11"/>
      <c r="D24" s="11"/>
      <c r="Q24" s="29"/>
    </row>
    <row r="25" spans="1:21" s="2" customFormat="1" ht="12.95" customHeight="1" x14ac:dyDescent="0.2">
      <c r="C25" s="11"/>
      <c r="D25" s="11"/>
      <c r="Q25" s="29"/>
    </row>
    <row r="26" spans="1:21" s="2" customFormat="1" ht="12.95" customHeight="1" x14ac:dyDescent="0.2">
      <c r="C26" s="11"/>
      <c r="D26" s="11"/>
      <c r="Q26" s="29"/>
    </row>
    <row r="27" spans="1:21" s="2" customFormat="1" ht="12.95" customHeight="1" x14ac:dyDescent="0.2">
      <c r="C27" s="11"/>
      <c r="D27" s="11"/>
      <c r="Q27" s="29"/>
    </row>
    <row r="28" spans="1:21" s="2" customFormat="1" ht="12.95" customHeight="1" x14ac:dyDescent="0.2">
      <c r="C28" s="11"/>
      <c r="D28" s="11"/>
      <c r="Q28" s="29"/>
    </row>
    <row r="29" spans="1:21" s="2" customFormat="1" ht="12.95" customHeight="1" x14ac:dyDescent="0.2">
      <c r="C29" s="11"/>
      <c r="D29" s="11"/>
      <c r="Q29" s="29"/>
    </row>
    <row r="30" spans="1:21" s="2" customFormat="1" ht="12.95" customHeight="1" x14ac:dyDescent="0.2">
      <c r="C30" s="11"/>
      <c r="D30" s="11"/>
      <c r="Q30" s="29"/>
    </row>
    <row r="31" spans="1:21" s="2" customFormat="1" ht="12.95" customHeight="1" x14ac:dyDescent="0.2">
      <c r="C31" s="11"/>
      <c r="D31" s="11"/>
      <c r="Q31" s="29"/>
    </row>
    <row r="32" spans="1:21" s="2" customFormat="1" ht="12.95" customHeight="1" x14ac:dyDescent="0.2">
      <c r="C32" s="11"/>
      <c r="D32" s="11"/>
      <c r="Q32" s="29"/>
    </row>
    <row r="33" spans="3:17" s="2" customFormat="1" ht="12.95" customHeight="1" x14ac:dyDescent="0.2">
      <c r="C33" s="11"/>
      <c r="D33" s="11"/>
      <c r="Q33" s="29"/>
    </row>
    <row r="34" spans="3:17" s="2" customFormat="1" ht="12.95" customHeight="1" x14ac:dyDescent="0.2">
      <c r="C34" s="11"/>
      <c r="D34" s="11"/>
    </row>
    <row r="35" spans="3:17" s="2" customFormat="1" ht="12.95" customHeight="1" x14ac:dyDescent="0.2">
      <c r="C35" s="11"/>
      <c r="D35" s="11"/>
    </row>
    <row r="36" spans="3:17" s="2" customFormat="1" ht="12.95" customHeight="1" x14ac:dyDescent="0.2">
      <c r="C36" s="11"/>
      <c r="D36" s="11"/>
    </row>
    <row r="37" spans="3:17" s="2" customFormat="1" ht="12.95" customHeight="1" x14ac:dyDescent="0.2">
      <c r="C37" s="11"/>
      <c r="D37" s="11"/>
    </row>
    <row r="38" spans="3:17" s="2" customFormat="1" ht="12.95" customHeight="1" x14ac:dyDescent="0.2">
      <c r="C38" s="11"/>
      <c r="D38" s="11"/>
    </row>
    <row r="39" spans="3:17" s="2" customFormat="1" ht="12.95" customHeight="1" x14ac:dyDescent="0.2">
      <c r="C39" s="11"/>
      <c r="D39" s="11"/>
    </row>
    <row r="40" spans="3:17" s="2" customFormat="1" ht="12.95" customHeight="1" x14ac:dyDescent="0.2">
      <c r="C40" s="11"/>
      <c r="D40" s="11"/>
    </row>
    <row r="41" spans="3:17" s="2" customFormat="1" ht="12.95" customHeight="1" x14ac:dyDescent="0.2">
      <c r="C41" s="11"/>
      <c r="D41" s="1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hyperlinks>
    <hyperlink ref="H63027" r:id="rId1" display="http://vsolj.cetus-net.org/bulletin.html"/>
    <hyperlink ref="H63020" r:id="rId2" display="https://www.aavso.org/ejaavso"/>
    <hyperlink ref="I63027" r:id="rId3" display="http://vsolj.cetus-net.org/bulletin.html"/>
    <hyperlink ref="AQ56678" r:id="rId4" display="http://cdsbib.u-strasbg.fr/cgi-bin/cdsbib?1990RMxAA..21..381G"/>
    <hyperlink ref="H63024" r:id="rId5" display="https://www.aavso.org/ejaavso"/>
    <hyperlink ref="AP4042" r:id="rId6" display="http://cdsbib.u-strasbg.fr/cgi-bin/cdsbib?1990RMxAA..21..381G"/>
    <hyperlink ref="AP4045" r:id="rId7" display="http://cdsbib.u-strasbg.fr/cgi-bin/cdsbib?1990RMxAA..21..381G"/>
    <hyperlink ref="AP4043" r:id="rId8" display="http://cdsbib.u-strasbg.fr/cgi-bin/cdsbib?1990RMxAA..21..381G"/>
    <hyperlink ref="AP4027" r:id="rId9" display="http://cdsbib.u-strasbg.fr/cgi-bin/cdsbib?1990RMxAA..21..381G"/>
    <hyperlink ref="AQ4256" r:id="rId10" display="http://cdsbib.u-strasbg.fr/cgi-bin/cdsbib?1990RMxAA..21..381G"/>
    <hyperlink ref="AQ4260" r:id="rId11" display="http://cdsbib.u-strasbg.fr/cgi-bin/cdsbib?1990RMxAA..21..381G"/>
    <hyperlink ref="AQ63940" r:id="rId12" display="http://cdsbib.u-strasbg.fr/cgi-bin/cdsbib?1990RMxAA..21..381G"/>
    <hyperlink ref="I1148" r:id="rId13" display="http://vsolj.cetus-net.org/bulletin.html"/>
    <hyperlink ref="H1148" r:id="rId14" display="http://vsolj.cetus-net.org/bulletin.html"/>
    <hyperlink ref="AQ64601" r:id="rId15" display="http://cdsbib.u-strasbg.fr/cgi-bin/cdsbib?1990RMxAA..21..381G"/>
    <hyperlink ref="AQ64600" r:id="rId16" display="http://cdsbib.u-strasbg.fr/cgi-bin/cdsbib?1990RMxAA..21..381G"/>
    <hyperlink ref="AP2318" r:id="rId17" display="http://cdsbib.u-strasbg.fr/cgi-bin/cdsbib?1990RMxAA..21..381G"/>
    <hyperlink ref="AP2336" r:id="rId18" display="http://cdsbib.u-strasbg.fr/cgi-bin/cdsbib?1990RMxAA..21..381G"/>
    <hyperlink ref="AP2337" r:id="rId19" display="http://cdsbib.u-strasbg.fr/cgi-bin/cdsbib?1990RMxAA..21..381G"/>
    <hyperlink ref="AP233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2024-03-05T05:04:02Z</dcterms:modified>
</cp:coreProperties>
</file>