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6A57204-73EC-4C4B-8DFA-1E0DCFBFA57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3" r:id="rId1"/>
    <sheet name="BAV" sheetId="2" r:id="rId2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D11" i="3" l="1"/>
  <c r="P24" i="3"/>
  <c r="R24" i="3" s="1"/>
  <c r="D12" i="3"/>
  <c r="W15" i="3" s="1"/>
  <c r="D13" i="3"/>
  <c r="W18" i="3"/>
  <c r="W17" i="3"/>
  <c r="W16" i="3"/>
  <c r="W14" i="3"/>
  <c r="W12" i="3"/>
  <c r="W11" i="3"/>
  <c r="W10" i="3"/>
  <c r="W9" i="3"/>
  <c r="W8" i="3"/>
  <c r="W6" i="3"/>
  <c r="W4" i="3"/>
  <c r="W3" i="3"/>
  <c r="W2" i="3"/>
  <c r="C7" i="3"/>
  <c r="C8" i="3"/>
  <c r="E22" i="3"/>
  <c r="F22" i="3"/>
  <c r="C9" i="3"/>
  <c r="D9" i="3"/>
  <c r="F16" i="3"/>
  <c r="F17" i="3" s="1"/>
  <c r="C17" i="3"/>
  <c r="Q21" i="3"/>
  <c r="Q22" i="3"/>
  <c r="Q23" i="3"/>
  <c r="E24" i="3"/>
  <c r="F24" i="3"/>
  <c r="G24" i="3"/>
  <c r="I24" i="3"/>
  <c r="Q24" i="3"/>
  <c r="Q25" i="3"/>
  <c r="E26" i="3"/>
  <c r="F26" i="3"/>
  <c r="Q26" i="3"/>
  <c r="Q27" i="3"/>
  <c r="E28" i="3"/>
  <c r="F28" i="3"/>
  <c r="Q28" i="3"/>
  <c r="Q29" i="3"/>
  <c r="E30" i="3"/>
  <c r="F30" i="3"/>
  <c r="Q30" i="3"/>
  <c r="Q31" i="3"/>
  <c r="E32" i="3"/>
  <c r="F32" i="3"/>
  <c r="Q32" i="3"/>
  <c r="Q33" i="3"/>
  <c r="E34" i="3"/>
  <c r="F34" i="3"/>
  <c r="Q34" i="3"/>
  <c r="Q35" i="3"/>
  <c r="E36" i="3"/>
  <c r="F36" i="3"/>
  <c r="Q36" i="3"/>
  <c r="Q37" i="3"/>
  <c r="E38" i="3"/>
  <c r="F38" i="3"/>
  <c r="Q38" i="3"/>
  <c r="Q39" i="3"/>
  <c r="E40" i="3"/>
  <c r="F40" i="3"/>
  <c r="Q40" i="3"/>
  <c r="Q41" i="3"/>
  <c r="E42" i="3"/>
  <c r="F42" i="3"/>
  <c r="Q42" i="3"/>
  <c r="Q43" i="3"/>
  <c r="E44" i="3"/>
  <c r="F44" i="3"/>
  <c r="Q44" i="3"/>
  <c r="Q45" i="3"/>
  <c r="E46" i="3"/>
  <c r="F46" i="3"/>
  <c r="Q46" i="3"/>
  <c r="Q47" i="3"/>
  <c r="E48" i="3"/>
  <c r="F48" i="3"/>
  <c r="Q48" i="3"/>
  <c r="Q49" i="3"/>
  <c r="E50" i="3"/>
  <c r="F50" i="3"/>
  <c r="Q50" i="3"/>
  <c r="Q51" i="3"/>
  <c r="E52" i="3"/>
  <c r="F52" i="3"/>
  <c r="Q52" i="3"/>
  <c r="Q53" i="3"/>
  <c r="E54" i="3"/>
  <c r="F54" i="3"/>
  <c r="Q54" i="3"/>
  <c r="Q55" i="3"/>
  <c r="E56" i="3"/>
  <c r="F56" i="3"/>
  <c r="Q56" i="3"/>
  <c r="Q57" i="3"/>
  <c r="E58" i="3"/>
  <c r="F58" i="3"/>
  <c r="Q58" i="3"/>
  <c r="Q59" i="3"/>
  <c r="E60" i="3"/>
  <c r="F60" i="3"/>
  <c r="Q60" i="3"/>
  <c r="Q61" i="3"/>
  <c r="E62" i="3"/>
  <c r="F62" i="3"/>
  <c r="Q62" i="3"/>
  <c r="Q63" i="3"/>
  <c r="E64" i="3"/>
  <c r="F64" i="3"/>
  <c r="Q64" i="3"/>
  <c r="Q65" i="3"/>
  <c r="E66" i="3"/>
  <c r="F66" i="3"/>
  <c r="Q66" i="3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55" i="2"/>
  <c r="B55" i="2"/>
  <c r="D55" i="2"/>
  <c r="A55" i="2"/>
  <c r="H54" i="2"/>
  <c r="D54" i="2"/>
  <c r="B54" i="2"/>
  <c r="A54" i="2"/>
  <c r="H53" i="2"/>
  <c r="B53" i="2"/>
  <c r="D53" i="2"/>
  <c r="A53" i="2"/>
  <c r="H52" i="2"/>
  <c r="D52" i="2"/>
  <c r="B52" i="2"/>
  <c r="A52" i="2"/>
  <c r="H51" i="2"/>
  <c r="B51" i="2"/>
  <c r="D51" i="2"/>
  <c r="A51" i="2"/>
  <c r="H50" i="2"/>
  <c r="D50" i="2"/>
  <c r="B50" i="2"/>
  <c r="A50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G62" i="3"/>
  <c r="I62" i="3"/>
  <c r="P62" i="3"/>
  <c r="R62" i="3"/>
  <c r="G46" i="3"/>
  <c r="I46" i="3"/>
  <c r="P46" i="3"/>
  <c r="R46" i="3"/>
  <c r="G30" i="3"/>
  <c r="I30" i="3"/>
  <c r="P30" i="3"/>
  <c r="R30" i="3"/>
  <c r="G58" i="3"/>
  <c r="I58" i="3"/>
  <c r="P58" i="3"/>
  <c r="P56" i="3"/>
  <c r="G56" i="3"/>
  <c r="I56" i="3"/>
  <c r="P40" i="3"/>
  <c r="G40" i="3"/>
  <c r="I40" i="3"/>
  <c r="G34" i="3"/>
  <c r="I34" i="3"/>
  <c r="P34" i="3"/>
  <c r="R34" i="3"/>
  <c r="P60" i="3"/>
  <c r="R60" i="3" s="1"/>
  <c r="G60" i="3"/>
  <c r="I60" i="3"/>
  <c r="P28" i="3"/>
  <c r="G28" i="3"/>
  <c r="I28" i="3"/>
  <c r="G22" i="3"/>
  <c r="G66" i="3"/>
  <c r="K66" i="3"/>
  <c r="P66" i="3"/>
  <c r="R66" i="3" s="1"/>
  <c r="T66" i="3" s="1"/>
  <c r="P44" i="3"/>
  <c r="R44" i="3"/>
  <c r="G44" i="3"/>
  <c r="I44" i="3"/>
  <c r="G54" i="3"/>
  <c r="I54" i="3"/>
  <c r="P54" i="3"/>
  <c r="R54" i="3"/>
  <c r="G38" i="3"/>
  <c r="I38" i="3"/>
  <c r="P38" i="3"/>
  <c r="R38" i="3" s="1"/>
  <c r="G50" i="3"/>
  <c r="I50" i="3"/>
  <c r="P50" i="3"/>
  <c r="R50" i="3" s="1"/>
  <c r="P64" i="3"/>
  <c r="R64" i="3"/>
  <c r="T64" i="3"/>
  <c r="G64" i="3"/>
  <c r="K64" i="3"/>
  <c r="P48" i="3"/>
  <c r="G48" i="3"/>
  <c r="I48" i="3"/>
  <c r="P32" i="3"/>
  <c r="R32" i="3"/>
  <c r="G32" i="3"/>
  <c r="I32" i="3"/>
  <c r="G26" i="3"/>
  <c r="I26" i="3"/>
  <c r="P26" i="3"/>
  <c r="R26" i="3" s="1"/>
  <c r="G42" i="3"/>
  <c r="I42" i="3"/>
  <c r="P42" i="3"/>
  <c r="P52" i="3"/>
  <c r="G52" i="3"/>
  <c r="I52" i="3"/>
  <c r="P36" i="3"/>
  <c r="R36" i="3" s="1"/>
  <c r="G36" i="3"/>
  <c r="I36" i="3"/>
  <c r="P22" i="3"/>
  <c r="R22" i="3"/>
  <c r="E23" i="3"/>
  <c r="F23" i="3"/>
  <c r="E65" i="3"/>
  <c r="F65" i="3"/>
  <c r="E63" i="3"/>
  <c r="F63" i="3"/>
  <c r="E61" i="3"/>
  <c r="F61" i="3"/>
  <c r="E59" i="3"/>
  <c r="F59" i="3"/>
  <c r="E57" i="3"/>
  <c r="F57" i="3"/>
  <c r="E55" i="3"/>
  <c r="F55" i="3"/>
  <c r="E53" i="3"/>
  <c r="F53" i="3"/>
  <c r="E51" i="3"/>
  <c r="F51" i="3"/>
  <c r="E49" i="3"/>
  <c r="F49" i="3"/>
  <c r="E47" i="3"/>
  <c r="F47" i="3"/>
  <c r="E45" i="3"/>
  <c r="F45" i="3"/>
  <c r="E43" i="3"/>
  <c r="F43" i="3"/>
  <c r="E41" i="3"/>
  <c r="F41" i="3"/>
  <c r="E39" i="3"/>
  <c r="F39" i="3"/>
  <c r="E37" i="3"/>
  <c r="F37" i="3"/>
  <c r="E35" i="3"/>
  <c r="F35" i="3"/>
  <c r="E33" i="3"/>
  <c r="F33" i="3"/>
  <c r="E31" i="3"/>
  <c r="F31" i="3"/>
  <c r="E29" i="3"/>
  <c r="F29" i="3"/>
  <c r="E27" i="3"/>
  <c r="F27" i="3"/>
  <c r="E25" i="3"/>
  <c r="F25" i="3"/>
  <c r="D16" i="3"/>
  <c r="D19" i="3"/>
  <c r="E21" i="3"/>
  <c r="F21" i="3"/>
  <c r="G21" i="3"/>
  <c r="I21" i="3"/>
  <c r="P21" i="3"/>
  <c r="R21" i="3" s="1"/>
  <c r="P49" i="3"/>
  <c r="G49" i="3"/>
  <c r="I49" i="3"/>
  <c r="R28" i="3"/>
  <c r="R56" i="3"/>
  <c r="P37" i="3"/>
  <c r="G37" i="3"/>
  <c r="I37" i="3"/>
  <c r="P53" i="3"/>
  <c r="R53" i="3"/>
  <c r="G53" i="3"/>
  <c r="I53" i="3"/>
  <c r="R52" i="3"/>
  <c r="R48" i="3"/>
  <c r="R58" i="3"/>
  <c r="P33" i="3"/>
  <c r="G33" i="3"/>
  <c r="I33" i="3"/>
  <c r="G35" i="3"/>
  <c r="I35" i="3"/>
  <c r="P35" i="3"/>
  <c r="R35" i="3" s="1"/>
  <c r="G51" i="3"/>
  <c r="I51" i="3"/>
  <c r="P51" i="3"/>
  <c r="R51" i="3"/>
  <c r="G39" i="3"/>
  <c r="I39" i="3"/>
  <c r="P39" i="3"/>
  <c r="R39" i="3" s="1"/>
  <c r="G55" i="3"/>
  <c r="I55" i="3"/>
  <c r="P55" i="3"/>
  <c r="R55" i="3" s="1"/>
  <c r="G23" i="3"/>
  <c r="P23" i="3"/>
  <c r="R23" i="3" s="1"/>
  <c r="R42" i="3"/>
  <c r="P57" i="3"/>
  <c r="G57" i="3"/>
  <c r="I57" i="3"/>
  <c r="P25" i="3"/>
  <c r="G25" i="3"/>
  <c r="I25" i="3"/>
  <c r="G27" i="3"/>
  <c r="I27" i="3"/>
  <c r="P27" i="3"/>
  <c r="R27" i="3"/>
  <c r="D15" i="3"/>
  <c r="C19" i="3"/>
  <c r="P29" i="3"/>
  <c r="G29" i="3"/>
  <c r="I29" i="3"/>
  <c r="P45" i="3"/>
  <c r="R45" i="3"/>
  <c r="G45" i="3"/>
  <c r="I45" i="3"/>
  <c r="P61" i="3"/>
  <c r="G61" i="3"/>
  <c r="I61" i="3"/>
  <c r="P41" i="3"/>
  <c r="G41" i="3"/>
  <c r="I41" i="3"/>
  <c r="G43" i="3"/>
  <c r="I43" i="3"/>
  <c r="P43" i="3"/>
  <c r="R43" i="3" s="1"/>
  <c r="G59" i="3"/>
  <c r="I59" i="3"/>
  <c r="P59" i="3"/>
  <c r="R59" i="3"/>
  <c r="G31" i="3"/>
  <c r="I31" i="3"/>
  <c r="P31" i="3"/>
  <c r="R31" i="3" s="1"/>
  <c r="G47" i="3"/>
  <c r="I47" i="3"/>
  <c r="P47" i="3"/>
  <c r="R47" i="3" s="1"/>
  <c r="G63" i="3"/>
  <c r="J63" i="3"/>
  <c r="P63" i="3"/>
  <c r="R63" i="3"/>
  <c r="I22" i="3"/>
  <c r="R40" i="3"/>
  <c r="G65" i="3"/>
  <c r="K65" i="3"/>
  <c r="P65" i="3"/>
  <c r="R65" i="3" s="1"/>
  <c r="T65" i="3" s="1"/>
  <c r="R57" i="3"/>
  <c r="R49" i="3"/>
  <c r="R29" i="3"/>
  <c r="R37" i="3"/>
  <c r="R61" i="3"/>
  <c r="R33" i="3"/>
  <c r="R41" i="3"/>
  <c r="H23" i="3"/>
  <c r="R25" i="3"/>
  <c r="C11" i="3"/>
  <c r="C12" i="3"/>
  <c r="C16" i="3" l="1"/>
  <c r="D18" i="3" s="1"/>
  <c r="O26" i="3"/>
  <c r="O42" i="3"/>
  <c r="O58" i="3"/>
  <c r="O27" i="3"/>
  <c r="O43" i="3"/>
  <c r="O59" i="3"/>
  <c r="O28" i="3"/>
  <c r="O44" i="3"/>
  <c r="O60" i="3"/>
  <c r="O29" i="3"/>
  <c r="O45" i="3"/>
  <c r="O61" i="3"/>
  <c r="O39" i="3"/>
  <c r="O40" i="3"/>
  <c r="O41" i="3"/>
  <c r="O30" i="3"/>
  <c r="O46" i="3"/>
  <c r="O62" i="3"/>
  <c r="O31" i="3"/>
  <c r="O47" i="3"/>
  <c r="O63" i="3"/>
  <c r="O34" i="3"/>
  <c r="O66" i="3"/>
  <c r="O35" i="3"/>
  <c r="O51" i="3"/>
  <c r="O21" i="3"/>
  <c r="O52" i="3"/>
  <c r="O53" i="3"/>
  <c r="O55" i="3"/>
  <c r="O24" i="3"/>
  <c r="O32" i="3"/>
  <c r="O48" i="3"/>
  <c r="O64" i="3"/>
  <c r="O33" i="3"/>
  <c r="O49" i="3"/>
  <c r="O65" i="3"/>
  <c r="O36" i="3"/>
  <c r="O37" i="3"/>
  <c r="O54" i="3"/>
  <c r="O56" i="3"/>
  <c r="O57" i="3"/>
  <c r="O50" i="3"/>
  <c r="O22" i="3"/>
  <c r="C15" i="3"/>
  <c r="O38" i="3"/>
  <c r="O23" i="3"/>
  <c r="O25" i="3"/>
  <c r="E14" i="3"/>
  <c r="W5" i="3"/>
  <c r="W13" i="3"/>
  <c r="W7" i="3"/>
  <c r="C18" i="3" l="1"/>
  <c r="F18" i="3"/>
  <c r="F19" i="3" s="1"/>
</calcChain>
</file>

<file path=xl/sharedStrings.xml><?xml version="1.0" encoding="utf-8"?>
<sst xmlns="http://schemas.openxmlformats.org/spreadsheetml/2006/main" count="474" uniqueCount="211">
  <si>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</si>
  <si>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</si>
  <si>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</si>
  <si>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</si>
  <si>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</si>
  <si>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</si>
  <si>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</si>
  <si>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</si>
  <si>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</si>
  <si>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</si>
  <si>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</si>
  <si>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</si>
  <si>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</si>
  <si>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</si>
  <si>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</si>
  <si>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</si>
  <si>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</si>
  <si>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</si>
  <si>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</si>
  <si>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</si>
  <si>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</si>
  <si>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</si>
  <si>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</si>
  <si>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</si>
  <si>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</si>
  <si>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</si>
  <si>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</si>
  <si>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</si>
  <si>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Bull.84</t>
  </si>
  <si>
    <t>B</t>
  </si>
  <si>
    <t>Diethelm R</t>
  </si>
  <si>
    <t>BBSAG Bull.112</t>
  </si>
  <si>
    <t># of data points:</t>
  </si>
  <si>
    <t>IBVS 5690</t>
  </si>
  <si>
    <t>I</t>
  </si>
  <si>
    <t>EZ Sct / gsc 5121-0478</t>
  </si>
  <si>
    <t>EB/KE</t>
  </si>
  <si>
    <t>My time zone &gt;&gt;&gt;&gt;&gt;</t>
  </si>
  <si>
    <t>(PST=8, PDT=MDT=7, MDT=CST=6, etc.)</t>
  </si>
  <si>
    <t>JD today</t>
  </si>
  <si>
    <t>New Cycle</t>
  </si>
  <si>
    <t>Next ToM</t>
  </si>
  <si>
    <t>IBVS 6029</t>
  </si>
  <si>
    <t>Add cycle</t>
  </si>
  <si>
    <t>Old Cycle</t>
  </si>
  <si>
    <t>Start of linear fit &gt;&gt;&gt;&gt;&gt;&gt;&gt;&gt;&gt;&gt;&gt;&gt;&gt;&gt;&gt;&gt;&gt;&gt;&gt;&gt;&gt;</t>
  </si>
  <si>
    <t>OEJV 0116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</si>
  <si>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</si>
  <si>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</si>
  <si>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</si>
  <si>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</si>
  <si>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</si>
  <si>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</si>
  <si>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</si>
  <si>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</si>
  <si>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</si>
  <si>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</si>
  <si>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</si>
  <si>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</si>
  <si>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2427335.292 </t>
  </si>
  <si>
    <t> 19.09.1933 19:00 </t>
  </si>
  <si>
    <t> 0.067 </t>
  </si>
  <si>
    <t>P </t>
  </si>
  <si>
    <t> G.A.Bakos </t>
  </si>
  <si>
    <t> AOLD 20.190 </t>
  </si>
  <si>
    <t>2427901.980 </t>
  </si>
  <si>
    <t> 09.04.1935 11:31 </t>
  </si>
  <si>
    <t> -0.016 </t>
  </si>
  <si>
    <t>2427926.933 </t>
  </si>
  <si>
    <t> 04.05.1935 10:23 </t>
  </si>
  <si>
    <t> -0.026 </t>
  </si>
  <si>
    <t>2427929.814 </t>
  </si>
  <si>
    <t> 07.05.1935 07:32 </t>
  </si>
  <si>
    <t> 0.018 </t>
  </si>
  <si>
    <t>2427963.821 </t>
  </si>
  <si>
    <t> 10.06.1935 07:42 </t>
  </si>
  <si>
    <t> -0.015 </t>
  </si>
  <si>
    <t>2427963.878 </t>
  </si>
  <si>
    <t> 10.06.1935 09:04 </t>
  </si>
  <si>
    <t> 0.042 </t>
  </si>
  <si>
    <t>2427983.724 </t>
  </si>
  <si>
    <t> 30.06.1935 05:22 </t>
  </si>
  <si>
    <t> 0.031 </t>
  </si>
  <si>
    <t>2427984.270 </t>
  </si>
  <si>
    <t> 30.06.1935 18:28 </t>
  </si>
  <si>
    <t> 0.010 </t>
  </si>
  <si>
    <t>2427984.292 </t>
  </si>
  <si>
    <t> 30.06.1935 19:00 </t>
  </si>
  <si>
    <t> 0.032 </t>
  </si>
  <si>
    <t>2427984.830 </t>
  </si>
  <si>
    <t> 01.07.1935 07:55 </t>
  </si>
  <si>
    <t> 0.003 </t>
  </si>
  <si>
    <t>2427985.360 </t>
  </si>
  <si>
    <t> 01.07.1935 20:38 </t>
  </si>
  <si>
    <t> -0.035 </t>
  </si>
  <si>
    <t>2427985.431 </t>
  </si>
  <si>
    <t> 01.07.1935 22:20 </t>
  </si>
  <si>
    <t> 0.036 </t>
  </si>
  <si>
    <t>2427985.474 </t>
  </si>
  <si>
    <t> 01.07.1935 23:22 </t>
  </si>
  <si>
    <t> 0.079 </t>
  </si>
  <si>
    <t>2428004.721 </t>
  </si>
  <si>
    <t> 21.07.1935 05:18 </t>
  </si>
  <si>
    <t> 0.037 </t>
  </si>
  <si>
    <t>2428013.741 </t>
  </si>
  <si>
    <t> 30.07.1935 05:47 </t>
  </si>
  <si>
    <t> -0.021 </t>
  </si>
  <si>
    <t>2428013.838 </t>
  </si>
  <si>
    <t> 30.07.1935 08:06 </t>
  </si>
  <si>
    <t> 0.076 </t>
  </si>
  <si>
    <t>2428038.743 </t>
  </si>
  <si>
    <t> 24.08.1935 05:49 </t>
  </si>
  <si>
    <t> 0.019 </t>
  </si>
  <si>
    <t>2428042.682 </t>
  </si>
  <si>
    <t> 28.08.1935 04:22 </t>
  </si>
  <si>
    <t> -0.014 </t>
  </si>
  <si>
    <t>2428067.681 </t>
  </si>
  <si>
    <t> 22.09.1935 04:20 </t>
  </si>
  <si>
    <t> 0.022 </t>
  </si>
  <si>
    <t>2428719.509 </t>
  </si>
  <si>
    <t> 05.07.1937 00:12 </t>
  </si>
  <si>
    <t>2428719.530 </t>
  </si>
  <si>
    <t> 05.07.1937 00:43 </t>
  </si>
  <si>
    <t> -0.000 </t>
  </si>
  <si>
    <t>2428727.465 </t>
  </si>
  <si>
    <t> 12.07.1937 23:09 </t>
  </si>
  <si>
    <t> -0.008 </t>
  </si>
  <si>
    <t>2428727.487 </t>
  </si>
  <si>
    <t> 12.07.1937 23:41 </t>
  </si>
  <si>
    <t> 0.014 </t>
  </si>
  <si>
    <t>2428760.411 </t>
  </si>
  <si>
    <t> 14.08.1937 21:51 </t>
  </si>
  <si>
    <t> 0.033 </t>
  </si>
  <si>
    <t>2428760.433 </t>
  </si>
  <si>
    <t> 14.08.1937 22:23 </t>
  </si>
  <si>
    <t> 0.055 </t>
  </si>
  <si>
    <t>2429021.423 </t>
  </si>
  <si>
    <t> 02.05.1938 22:09 </t>
  </si>
  <si>
    <t> 0.069 </t>
  </si>
  <si>
    <t>2429043.486 </t>
  </si>
  <si>
    <t> 24.05.1938 23:39 </t>
  </si>
  <si>
    <t> 0.006 </t>
  </si>
  <si>
    <t>2429106.515 </t>
  </si>
  <si>
    <t> 27.07.1938 00:21 </t>
  </si>
  <si>
    <t> 0.060 </t>
  </si>
  <si>
    <t>2429397.540 </t>
  </si>
  <si>
    <t> 14.05.1939 00:57 </t>
  </si>
  <si>
    <t> 0.041 </t>
  </si>
  <si>
    <t>2429410.522 </t>
  </si>
  <si>
    <t> 27.05.1939 00:31 </t>
  </si>
  <si>
    <t>2429439.463 </t>
  </si>
  <si>
    <t> 24.06.1939 23:06 </t>
  </si>
  <si>
    <t> -0.019 </t>
  </si>
  <si>
    <t>2429464.438 </t>
  </si>
  <si>
    <t> 19.07.1939 22:30 </t>
  </si>
  <si>
    <t> -0.007 </t>
  </si>
  <si>
    <t>2429479.232 </t>
  </si>
  <si>
    <t> 03.08.1939 17:34 </t>
  </si>
  <si>
    <t>2429480.309 </t>
  </si>
  <si>
    <t> 04.08.1939 19:24 </t>
  </si>
  <si>
    <t>2429484.319 </t>
  </si>
  <si>
    <t> 08.08.1939 19:39 </t>
  </si>
  <si>
    <t> 0.017 </t>
  </si>
  <si>
    <t>2429488.305 </t>
  </si>
  <si>
    <t> 12.08.1939 19:19 </t>
  </si>
  <si>
    <t>2429492.328 </t>
  </si>
  <si>
    <t> 16.08.1939 19:52 </t>
  </si>
  <si>
    <t> 0.084 </t>
  </si>
  <si>
    <t>2429514.334 </t>
  </si>
  <si>
    <t> 07.09.1939 20:00 </t>
  </si>
  <si>
    <t> -0.037 </t>
  </si>
  <si>
    <t>2429551.245 </t>
  </si>
  <si>
    <t> 14.10.1939 17:52 </t>
  </si>
  <si>
    <t>2429551.267 </t>
  </si>
  <si>
    <t> 14.10.1939 18:24 </t>
  </si>
  <si>
    <t>2446998.340 </t>
  </si>
  <si>
    <t> 21.07.1987 20:09 </t>
  </si>
  <si>
    <t> 0.314 </t>
  </si>
  <si>
    <t>V </t>
  </si>
  <si>
    <t> K.Locher </t>
  </si>
  <si>
    <t> BBS 84 </t>
  </si>
  <si>
    <t>2450285.379 </t>
  </si>
  <si>
    <t> 20.07.1996 21:05 </t>
  </si>
  <si>
    <t> 0.197 </t>
  </si>
  <si>
    <t>E </t>
  </si>
  <si>
    <t>?</t>
  </si>
  <si>
    <t> R.Diethelm </t>
  </si>
  <si>
    <t> BBS 112 </t>
  </si>
  <si>
    <t>2453525.9314 </t>
  </si>
  <si>
    <t> 04.06.2005 10:21 </t>
  </si>
  <si>
    <t> 0.1146 </t>
  </si>
  <si>
    <t> T. Krajci </t>
  </si>
  <si>
    <t>IBVS 5690 </t>
  </si>
  <si>
    <t>2454997.574 </t>
  </si>
  <si>
    <t> 15.06.2009 01:46 </t>
  </si>
  <si>
    <t> 0.082 </t>
  </si>
  <si>
    <t>C </t>
  </si>
  <si>
    <t>o</t>
  </si>
  <si>
    <t> A.Paschke </t>
  </si>
  <si>
    <t>OEJV 0116 </t>
  </si>
  <si>
    <t>2456078.895 </t>
  </si>
  <si>
    <t> 31.05.2012 09:28 </t>
  </si>
  <si>
    <t> 0.057 </t>
  </si>
  <si>
    <t>IBVS 6029 </t>
  </si>
  <si>
    <t>II</t>
  </si>
  <si>
    <t>Linear Ephemeris =</t>
  </si>
  <si>
    <t>Quad. Ephemeris =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</si>
  <si>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</si>
  <si>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</si>
  <si>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</si>
  <si>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Cycle counts are speculative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</si>
</sst>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vertAlign val="superscript"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</fills>
  <borders count="20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2" fillId="0" borderId="1" applyNumberFormat="0" applyFont="0" applyFill="0" applyAlignment="0" applyProtection="0"/>
  </cellStyleXfs>
  <cellXfs count="6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10" fillId="2" borderId="0" xfId="0" applyFont="1" applyFill="1" applyAlignment="1"/>
    <xf numFmtId="0" fontId="0" fillId="0" borderId="0" xfId="0" applyAlignment="1">
      <alignment horizontal="left"/>
    </xf>
    <xf numFmtId="0" fontId="0" fillId="0" borderId="0" xfId="0">
      <alignment vertical="top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8" fillId="3" borderId="12" xfId="7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6" fillId="4" borderId="0" xfId="0" applyFont="1" applyFill="1" applyAlignment="1"/>
    <xf numFmtId="0" fontId="5" fillId="0" borderId="5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11" fontId="0" fillId="0" borderId="0" xfId="0" applyNumberFormat="1" applyAlignment="1">
      <alignment vertical="center"/>
    </xf>
    <xf numFmtId="0" fontId="0" fillId="0" borderId="15" xfId="0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EZ Sct - O-C Diagr.</a:t>
            </a:r>
          </a:p>
        </c:rich>
      </c:tx>
      <c:layout>
        <c:manualLayout>
          <c:xMode val="edge"/>
          <c:yMode val="edge"/>
          <c:x val="0.38905806986892594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015326699728"/>
          <c:y val="0.14634168126798494"/>
          <c:w val="0.82826809183553074"/>
          <c:h val="0.661586350732348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-499.5</c:v>
                </c:pt>
                <c:pt idx="1">
                  <c:v>0</c:v>
                </c:pt>
                <c:pt idx="2">
                  <c:v>0</c:v>
                </c:pt>
                <c:pt idx="3">
                  <c:v>22</c:v>
                </c:pt>
                <c:pt idx="4">
                  <c:v>24.5</c:v>
                </c:pt>
                <c:pt idx="5">
                  <c:v>54.5</c:v>
                </c:pt>
                <c:pt idx="6">
                  <c:v>54.5</c:v>
                </c:pt>
                <c:pt idx="7">
                  <c:v>72</c:v>
                </c:pt>
                <c:pt idx="8">
                  <c:v>72.5</c:v>
                </c:pt>
                <c:pt idx="9">
                  <c:v>72.5</c:v>
                </c:pt>
                <c:pt idx="10">
                  <c:v>73</c:v>
                </c:pt>
                <c:pt idx="11">
                  <c:v>73.5</c:v>
                </c:pt>
                <c:pt idx="12">
                  <c:v>73.5</c:v>
                </c:pt>
                <c:pt idx="13">
                  <c:v>73.5</c:v>
                </c:pt>
                <c:pt idx="14">
                  <c:v>90.5</c:v>
                </c:pt>
                <c:pt idx="15">
                  <c:v>98.5</c:v>
                </c:pt>
                <c:pt idx="16">
                  <c:v>98.5</c:v>
                </c:pt>
                <c:pt idx="17">
                  <c:v>120.5</c:v>
                </c:pt>
                <c:pt idx="18">
                  <c:v>124</c:v>
                </c:pt>
                <c:pt idx="19">
                  <c:v>146</c:v>
                </c:pt>
                <c:pt idx="20">
                  <c:v>720.5</c:v>
                </c:pt>
                <c:pt idx="21">
                  <c:v>720.5</c:v>
                </c:pt>
                <c:pt idx="22">
                  <c:v>727.5</c:v>
                </c:pt>
                <c:pt idx="23">
                  <c:v>727.5</c:v>
                </c:pt>
                <c:pt idx="24">
                  <c:v>756.5</c:v>
                </c:pt>
                <c:pt idx="25">
                  <c:v>756.5</c:v>
                </c:pt>
                <c:pt idx="26">
                  <c:v>986.5</c:v>
                </c:pt>
                <c:pt idx="27">
                  <c:v>1006</c:v>
                </c:pt>
                <c:pt idx="28">
                  <c:v>1061.5</c:v>
                </c:pt>
                <c:pt idx="29">
                  <c:v>1318</c:v>
                </c:pt>
                <c:pt idx="30">
                  <c:v>1329.5</c:v>
                </c:pt>
                <c:pt idx="31">
                  <c:v>1355</c:v>
                </c:pt>
                <c:pt idx="32">
                  <c:v>1377</c:v>
                </c:pt>
                <c:pt idx="33">
                  <c:v>1390</c:v>
                </c:pt>
                <c:pt idx="34">
                  <c:v>1391</c:v>
                </c:pt>
                <c:pt idx="35">
                  <c:v>1394.5</c:v>
                </c:pt>
                <c:pt idx="36">
                  <c:v>1398</c:v>
                </c:pt>
                <c:pt idx="37">
                  <c:v>1401.5</c:v>
                </c:pt>
                <c:pt idx="38">
                  <c:v>1421</c:v>
                </c:pt>
                <c:pt idx="39">
                  <c:v>1453.5</c:v>
                </c:pt>
                <c:pt idx="40">
                  <c:v>1453.5</c:v>
                </c:pt>
                <c:pt idx="41">
                  <c:v>16831</c:v>
                </c:pt>
                <c:pt idx="42">
                  <c:v>19728</c:v>
                </c:pt>
                <c:pt idx="43">
                  <c:v>22584</c:v>
                </c:pt>
                <c:pt idx="44">
                  <c:v>23881</c:v>
                </c:pt>
                <c:pt idx="45">
                  <c:v>24834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9D-498C-8E4A-3D90E8A5213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2">
                    <c:v>0</c:v>
                  </c:pt>
                  <c:pt idx="42">
                    <c:v>5.0000000000000001E-3</c:v>
                  </c:pt>
                  <c:pt idx="43">
                    <c:v>4.0000000000000002E-4</c:v>
                  </c:pt>
                  <c:pt idx="44">
                    <c:v>8.0000000000000002E-3</c:v>
                  </c:pt>
                  <c:pt idx="45">
                    <c:v>3.0000000000000001E-3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2">
                    <c:v>0</c:v>
                  </c:pt>
                  <c:pt idx="42">
                    <c:v>5.0000000000000001E-3</c:v>
                  </c:pt>
                  <c:pt idx="43">
                    <c:v>4.0000000000000002E-4</c:v>
                  </c:pt>
                  <c:pt idx="44">
                    <c:v>8.0000000000000002E-3</c:v>
                  </c:pt>
                  <c:pt idx="4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-499.5</c:v>
                </c:pt>
                <c:pt idx="1">
                  <c:v>0</c:v>
                </c:pt>
                <c:pt idx="2">
                  <c:v>0</c:v>
                </c:pt>
                <c:pt idx="3">
                  <c:v>22</c:v>
                </c:pt>
                <c:pt idx="4">
                  <c:v>24.5</c:v>
                </c:pt>
                <c:pt idx="5">
                  <c:v>54.5</c:v>
                </c:pt>
                <c:pt idx="6">
                  <c:v>54.5</c:v>
                </c:pt>
                <c:pt idx="7">
                  <c:v>72</c:v>
                </c:pt>
                <c:pt idx="8">
                  <c:v>72.5</c:v>
                </c:pt>
                <c:pt idx="9">
                  <c:v>72.5</c:v>
                </c:pt>
                <c:pt idx="10">
                  <c:v>73</c:v>
                </c:pt>
                <c:pt idx="11">
                  <c:v>73.5</c:v>
                </c:pt>
                <c:pt idx="12">
                  <c:v>73.5</c:v>
                </c:pt>
                <c:pt idx="13">
                  <c:v>73.5</c:v>
                </c:pt>
                <c:pt idx="14">
                  <c:v>90.5</c:v>
                </c:pt>
                <c:pt idx="15">
                  <c:v>98.5</c:v>
                </c:pt>
                <c:pt idx="16">
                  <c:v>98.5</c:v>
                </c:pt>
                <c:pt idx="17">
                  <c:v>120.5</c:v>
                </c:pt>
                <c:pt idx="18">
                  <c:v>124</c:v>
                </c:pt>
                <c:pt idx="19">
                  <c:v>146</c:v>
                </c:pt>
                <c:pt idx="20">
                  <c:v>720.5</c:v>
                </c:pt>
                <c:pt idx="21">
                  <c:v>720.5</c:v>
                </c:pt>
                <c:pt idx="22">
                  <c:v>727.5</c:v>
                </c:pt>
                <c:pt idx="23">
                  <c:v>727.5</c:v>
                </c:pt>
                <c:pt idx="24">
                  <c:v>756.5</c:v>
                </c:pt>
                <c:pt idx="25">
                  <c:v>756.5</c:v>
                </c:pt>
                <c:pt idx="26">
                  <c:v>986.5</c:v>
                </c:pt>
                <c:pt idx="27">
                  <c:v>1006</c:v>
                </c:pt>
                <c:pt idx="28">
                  <c:v>1061.5</c:v>
                </c:pt>
                <c:pt idx="29">
                  <c:v>1318</c:v>
                </c:pt>
                <c:pt idx="30">
                  <c:v>1329.5</c:v>
                </c:pt>
                <c:pt idx="31">
                  <c:v>1355</c:v>
                </c:pt>
                <c:pt idx="32">
                  <c:v>1377</c:v>
                </c:pt>
                <c:pt idx="33">
                  <c:v>1390</c:v>
                </c:pt>
                <c:pt idx="34">
                  <c:v>1391</c:v>
                </c:pt>
                <c:pt idx="35">
                  <c:v>1394.5</c:v>
                </c:pt>
                <c:pt idx="36">
                  <c:v>1398</c:v>
                </c:pt>
                <c:pt idx="37">
                  <c:v>1401.5</c:v>
                </c:pt>
                <c:pt idx="38">
                  <c:v>1421</c:v>
                </c:pt>
                <c:pt idx="39">
                  <c:v>1453.5</c:v>
                </c:pt>
                <c:pt idx="40">
                  <c:v>1453.5</c:v>
                </c:pt>
                <c:pt idx="41">
                  <c:v>16831</c:v>
                </c:pt>
                <c:pt idx="42">
                  <c:v>19728</c:v>
                </c:pt>
                <c:pt idx="43">
                  <c:v>22584</c:v>
                </c:pt>
                <c:pt idx="44">
                  <c:v>23881</c:v>
                </c:pt>
                <c:pt idx="45">
                  <c:v>24834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6.6662000001088018E-2</c:v>
                </c:pt>
                <c:pt idx="1">
                  <c:v>-1.599999999962165E-2</c:v>
                </c:pt>
                <c:pt idx="3">
                  <c:v>-2.5871999998344108E-2</c:v>
                </c:pt>
                <c:pt idx="4">
                  <c:v>1.8437999999150634E-2</c:v>
                </c:pt>
                <c:pt idx="5">
                  <c:v>-1.4842000000498956E-2</c:v>
                </c:pt>
                <c:pt idx="6">
                  <c:v>4.2158000000199536E-2</c:v>
                </c:pt>
                <c:pt idx="7">
                  <c:v>3.1328000000939937E-2</c:v>
                </c:pt>
                <c:pt idx="8">
                  <c:v>9.9900000022898894E-3</c:v>
                </c:pt>
                <c:pt idx="9">
                  <c:v>3.19900000031339E-2</c:v>
                </c:pt>
                <c:pt idx="10">
                  <c:v>2.652000002854038E-3</c:v>
                </c:pt>
                <c:pt idx="11">
                  <c:v>-3.4685999999055639E-2</c:v>
                </c:pt>
                <c:pt idx="12">
                  <c:v>3.631400000085705E-2</c:v>
                </c:pt>
                <c:pt idx="13">
                  <c:v>7.9313999998703366E-2</c:v>
                </c:pt>
                <c:pt idx="14">
                  <c:v>3.682200000184821E-2</c:v>
                </c:pt>
                <c:pt idx="15">
                  <c:v>-2.0585999998729676E-2</c:v>
                </c:pt>
                <c:pt idx="16">
                  <c:v>7.6413999999203952E-2</c:v>
                </c:pt>
                <c:pt idx="17">
                  <c:v>1.8541999997978564E-2</c:v>
                </c:pt>
                <c:pt idx="18">
                  <c:v>-1.3823999997839564E-2</c:v>
                </c:pt>
                <c:pt idx="19">
                  <c:v>2.2304000001895474E-2</c:v>
                </c:pt>
                <c:pt idx="20">
                  <c:v>-2.1058000002085464E-2</c:v>
                </c:pt>
                <c:pt idx="21">
                  <c:v>-5.8000001445179805E-5</c:v>
                </c:pt>
                <c:pt idx="22">
                  <c:v>-7.7899999996589031E-3</c:v>
                </c:pt>
                <c:pt idx="23">
                  <c:v>1.4210000001185108E-2</c:v>
                </c:pt>
                <c:pt idx="24">
                  <c:v>3.2606000000669155E-2</c:v>
                </c:pt>
                <c:pt idx="25">
                  <c:v>5.4606000001513166E-2</c:v>
                </c:pt>
                <c:pt idx="26">
                  <c:v>6.9125999998504994E-2</c:v>
                </c:pt>
                <c:pt idx="27">
                  <c:v>5.9440000004542526E-3</c:v>
                </c:pt>
                <c:pt idx="28">
                  <c:v>6.0426000000006752E-2</c:v>
                </c:pt>
                <c:pt idx="29">
                  <c:v>4.1032000000996049E-2</c:v>
                </c:pt>
                <c:pt idx="30">
                  <c:v>-2.5741999997990206E-2</c:v>
                </c:pt>
                <c:pt idx="31">
                  <c:v>-1.8980000000738073E-2</c:v>
                </c:pt>
                <c:pt idx="32">
                  <c:v>-6.8520000022544991E-3</c:v>
                </c:pt>
                <c:pt idx="33">
                  <c:v>3.6360000001877779E-2</c:v>
                </c:pt>
                <c:pt idx="34">
                  <c:v>-2.1315999998478219E-2</c:v>
                </c:pt>
                <c:pt idx="35">
                  <c:v>1.7318000001978362E-2</c:v>
                </c:pt>
                <c:pt idx="36">
                  <c:v>3.1952000001183478E-2</c:v>
                </c:pt>
                <c:pt idx="37">
                  <c:v>8.3586000000650529E-2</c:v>
                </c:pt>
                <c:pt idx="38">
                  <c:v>-3.6596000001736684E-2</c:v>
                </c:pt>
                <c:pt idx="39">
                  <c:v>-2.5659999992058147E-3</c:v>
                </c:pt>
                <c:pt idx="40">
                  <c:v>1.9434000001638196E-2</c:v>
                </c:pt>
                <c:pt idx="41">
                  <c:v>-1.3877560000037192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9D-498C-8E4A-3D90E8A5213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2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-499.5</c:v>
                </c:pt>
                <c:pt idx="1">
                  <c:v>0</c:v>
                </c:pt>
                <c:pt idx="2">
                  <c:v>0</c:v>
                </c:pt>
                <c:pt idx="3">
                  <c:v>22</c:v>
                </c:pt>
                <c:pt idx="4">
                  <c:v>24.5</c:v>
                </c:pt>
                <c:pt idx="5">
                  <c:v>54.5</c:v>
                </c:pt>
                <c:pt idx="6">
                  <c:v>54.5</c:v>
                </c:pt>
                <c:pt idx="7">
                  <c:v>72</c:v>
                </c:pt>
                <c:pt idx="8">
                  <c:v>72.5</c:v>
                </c:pt>
                <c:pt idx="9">
                  <c:v>72.5</c:v>
                </c:pt>
                <c:pt idx="10">
                  <c:v>73</c:v>
                </c:pt>
                <c:pt idx="11">
                  <c:v>73.5</c:v>
                </c:pt>
                <c:pt idx="12">
                  <c:v>73.5</c:v>
                </c:pt>
                <c:pt idx="13">
                  <c:v>73.5</c:v>
                </c:pt>
                <c:pt idx="14">
                  <c:v>90.5</c:v>
                </c:pt>
                <c:pt idx="15">
                  <c:v>98.5</c:v>
                </c:pt>
                <c:pt idx="16">
                  <c:v>98.5</c:v>
                </c:pt>
                <c:pt idx="17">
                  <c:v>120.5</c:v>
                </c:pt>
                <c:pt idx="18">
                  <c:v>124</c:v>
                </c:pt>
                <c:pt idx="19">
                  <c:v>146</c:v>
                </c:pt>
                <c:pt idx="20">
                  <c:v>720.5</c:v>
                </c:pt>
                <c:pt idx="21">
                  <c:v>720.5</c:v>
                </c:pt>
                <c:pt idx="22">
                  <c:v>727.5</c:v>
                </c:pt>
                <c:pt idx="23">
                  <c:v>727.5</c:v>
                </c:pt>
                <c:pt idx="24">
                  <c:v>756.5</c:v>
                </c:pt>
                <c:pt idx="25">
                  <c:v>756.5</c:v>
                </c:pt>
                <c:pt idx="26">
                  <c:v>986.5</c:v>
                </c:pt>
                <c:pt idx="27">
                  <c:v>1006</c:v>
                </c:pt>
                <c:pt idx="28">
                  <c:v>1061.5</c:v>
                </c:pt>
                <c:pt idx="29">
                  <c:v>1318</c:v>
                </c:pt>
                <c:pt idx="30">
                  <c:v>1329.5</c:v>
                </c:pt>
                <c:pt idx="31">
                  <c:v>1355</c:v>
                </c:pt>
                <c:pt idx="32">
                  <c:v>1377</c:v>
                </c:pt>
                <c:pt idx="33">
                  <c:v>1390</c:v>
                </c:pt>
                <c:pt idx="34">
                  <c:v>1391</c:v>
                </c:pt>
                <c:pt idx="35">
                  <c:v>1394.5</c:v>
                </c:pt>
                <c:pt idx="36">
                  <c:v>1398</c:v>
                </c:pt>
                <c:pt idx="37">
                  <c:v>1401.5</c:v>
                </c:pt>
                <c:pt idx="38">
                  <c:v>1421</c:v>
                </c:pt>
                <c:pt idx="39">
                  <c:v>1453.5</c:v>
                </c:pt>
                <c:pt idx="40">
                  <c:v>1453.5</c:v>
                </c:pt>
                <c:pt idx="41">
                  <c:v>16831</c:v>
                </c:pt>
                <c:pt idx="42">
                  <c:v>19728</c:v>
                </c:pt>
                <c:pt idx="43">
                  <c:v>22584</c:v>
                </c:pt>
                <c:pt idx="44">
                  <c:v>23881</c:v>
                </c:pt>
                <c:pt idx="45">
                  <c:v>24834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42">
                  <c:v>-1.5051279999970575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9D-498C-8E4A-3D90E8A5213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2">
                    <c:v>0</c:v>
                  </c:pt>
                  <c:pt idx="42">
                    <c:v>5.0000000000000001E-3</c:v>
                  </c:pt>
                  <c:pt idx="43">
                    <c:v>4.0000000000000002E-4</c:v>
                  </c:pt>
                  <c:pt idx="44">
                    <c:v>8.0000000000000002E-3</c:v>
                  </c:pt>
                  <c:pt idx="45">
                    <c:v>3.0000000000000001E-3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2">
                    <c:v>0</c:v>
                  </c:pt>
                  <c:pt idx="42">
                    <c:v>5.0000000000000001E-3</c:v>
                  </c:pt>
                  <c:pt idx="43">
                    <c:v>4.0000000000000002E-4</c:v>
                  </c:pt>
                  <c:pt idx="44">
                    <c:v>8.0000000000000002E-3</c:v>
                  </c:pt>
                  <c:pt idx="4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-499.5</c:v>
                </c:pt>
                <c:pt idx="1">
                  <c:v>0</c:v>
                </c:pt>
                <c:pt idx="2">
                  <c:v>0</c:v>
                </c:pt>
                <c:pt idx="3">
                  <c:v>22</c:v>
                </c:pt>
                <c:pt idx="4">
                  <c:v>24.5</c:v>
                </c:pt>
                <c:pt idx="5">
                  <c:v>54.5</c:v>
                </c:pt>
                <c:pt idx="6">
                  <c:v>54.5</c:v>
                </c:pt>
                <c:pt idx="7">
                  <c:v>72</c:v>
                </c:pt>
                <c:pt idx="8">
                  <c:v>72.5</c:v>
                </c:pt>
                <c:pt idx="9">
                  <c:v>72.5</c:v>
                </c:pt>
                <c:pt idx="10">
                  <c:v>73</c:v>
                </c:pt>
                <c:pt idx="11">
                  <c:v>73.5</c:v>
                </c:pt>
                <c:pt idx="12">
                  <c:v>73.5</c:v>
                </c:pt>
                <c:pt idx="13">
                  <c:v>73.5</c:v>
                </c:pt>
                <c:pt idx="14">
                  <c:v>90.5</c:v>
                </c:pt>
                <c:pt idx="15">
                  <c:v>98.5</c:v>
                </c:pt>
                <c:pt idx="16">
                  <c:v>98.5</c:v>
                </c:pt>
                <c:pt idx="17">
                  <c:v>120.5</c:v>
                </c:pt>
                <c:pt idx="18">
                  <c:v>124</c:v>
                </c:pt>
                <c:pt idx="19">
                  <c:v>146</c:v>
                </c:pt>
                <c:pt idx="20">
                  <c:v>720.5</c:v>
                </c:pt>
                <c:pt idx="21">
                  <c:v>720.5</c:v>
                </c:pt>
                <c:pt idx="22">
                  <c:v>727.5</c:v>
                </c:pt>
                <c:pt idx="23">
                  <c:v>727.5</c:v>
                </c:pt>
                <c:pt idx="24">
                  <c:v>756.5</c:v>
                </c:pt>
                <c:pt idx="25">
                  <c:v>756.5</c:v>
                </c:pt>
                <c:pt idx="26">
                  <c:v>986.5</c:v>
                </c:pt>
                <c:pt idx="27">
                  <c:v>1006</c:v>
                </c:pt>
                <c:pt idx="28">
                  <c:v>1061.5</c:v>
                </c:pt>
                <c:pt idx="29">
                  <c:v>1318</c:v>
                </c:pt>
                <c:pt idx="30">
                  <c:v>1329.5</c:v>
                </c:pt>
                <c:pt idx="31">
                  <c:v>1355</c:v>
                </c:pt>
                <c:pt idx="32">
                  <c:v>1377</c:v>
                </c:pt>
                <c:pt idx="33">
                  <c:v>1390</c:v>
                </c:pt>
                <c:pt idx="34">
                  <c:v>1391</c:v>
                </c:pt>
                <c:pt idx="35">
                  <c:v>1394.5</c:v>
                </c:pt>
                <c:pt idx="36">
                  <c:v>1398</c:v>
                </c:pt>
                <c:pt idx="37">
                  <c:v>1401.5</c:v>
                </c:pt>
                <c:pt idx="38">
                  <c:v>1421</c:v>
                </c:pt>
                <c:pt idx="39">
                  <c:v>1453.5</c:v>
                </c:pt>
                <c:pt idx="40">
                  <c:v>1453.5</c:v>
                </c:pt>
                <c:pt idx="41">
                  <c:v>16831</c:v>
                </c:pt>
                <c:pt idx="42">
                  <c:v>19728</c:v>
                </c:pt>
                <c:pt idx="43">
                  <c:v>22584</c:v>
                </c:pt>
                <c:pt idx="44">
                  <c:v>23881</c:v>
                </c:pt>
                <c:pt idx="45">
                  <c:v>24834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43">
                  <c:v>-1.5873839999985648</c:v>
                </c:pt>
                <c:pt idx="44">
                  <c:v>-1.6195559999978286</c:v>
                </c:pt>
                <c:pt idx="45">
                  <c:v>-1.6447840000037104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9D-498C-8E4A-3D90E8A5213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2">
                    <c:v>0</c:v>
                  </c:pt>
                  <c:pt idx="42">
                    <c:v>5.0000000000000001E-3</c:v>
                  </c:pt>
                  <c:pt idx="43">
                    <c:v>4.0000000000000002E-4</c:v>
                  </c:pt>
                  <c:pt idx="44">
                    <c:v>8.0000000000000002E-3</c:v>
                  </c:pt>
                  <c:pt idx="45">
                    <c:v>3.0000000000000001E-3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2">
                    <c:v>0</c:v>
                  </c:pt>
                  <c:pt idx="42">
                    <c:v>5.0000000000000001E-3</c:v>
                  </c:pt>
                  <c:pt idx="43">
                    <c:v>4.0000000000000002E-4</c:v>
                  </c:pt>
                  <c:pt idx="44">
                    <c:v>8.0000000000000002E-3</c:v>
                  </c:pt>
                  <c:pt idx="4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-499.5</c:v>
                </c:pt>
                <c:pt idx="1">
                  <c:v>0</c:v>
                </c:pt>
                <c:pt idx="2">
                  <c:v>0</c:v>
                </c:pt>
                <c:pt idx="3">
                  <c:v>22</c:v>
                </c:pt>
                <c:pt idx="4">
                  <c:v>24.5</c:v>
                </c:pt>
                <c:pt idx="5">
                  <c:v>54.5</c:v>
                </c:pt>
                <c:pt idx="6">
                  <c:v>54.5</c:v>
                </c:pt>
                <c:pt idx="7">
                  <c:v>72</c:v>
                </c:pt>
                <c:pt idx="8">
                  <c:v>72.5</c:v>
                </c:pt>
                <c:pt idx="9">
                  <c:v>72.5</c:v>
                </c:pt>
                <c:pt idx="10">
                  <c:v>73</c:v>
                </c:pt>
                <c:pt idx="11">
                  <c:v>73.5</c:v>
                </c:pt>
                <c:pt idx="12">
                  <c:v>73.5</c:v>
                </c:pt>
                <c:pt idx="13">
                  <c:v>73.5</c:v>
                </c:pt>
                <c:pt idx="14">
                  <c:v>90.5</c:v>
                </c:pt>
                <c:pt idx="15">
                  <c:v>98.5</c:v>
                </c:pt>
                <c:pt idx="16">
                  <c:v>98.5</c:v>
                </c:pt>
                <c:pt idx="17">
                  <c:v>120.5</c:v>
                </c:pt>
                <c:pt idx="18">
                  <c:v>124</c:v>
                </c:pt>
                <c:pt idx="19">
                  <c:v>146</c:v>
                </c:pt>
                <c:pt idx="20">
                  <c:v>720.5</c:v>
                </c:pt>
                <c:pt idx="21">
                  <c:v>720.5</c:v>
                </c:pt>
                <c:pt idx="22">
                  <c:v>727.5</c:v>
                </c:pt>
                <c:pt idx="23">
                  <c:v>727.5</c:v>
                </c:pt>
                <c:pt idx="24">
                  <c:v>756.5</c:v>
                </c:pt>
                <c:pt idx="25">
                  <c:v>756.5</c:v>
                </c:pt>
                <c:pt idx="26">
                  <c:v>986.5</c:v>
                </c:pt>
                <c:pt idx="27">
                  <c:v>1006</c:v>
                </c:pt>
                <c:pt idx="28">
                  <c:v>1061.5</c:v>
                </c:pt>
                <c:pt idx="29">
                  <c:v>1318</c:v>
                </c:pt>
                <c:pt idx="30">
                  <c:v>1329.5</c:v>
                </c:pt>
                <c:pt idx="31">
                  <c:v>1355</c:v>
                </c:pt>
                <c:pt idx="32">
                  <c:v>1377</c:v>
                </c:pt>
                <c:pt idx="33">
                  <c:v>1390</c:v>
                </c:pt>
                <c:pt idx="34">
                  <c:v>1391</c:v>
                </c:pt>
                <c:pt idx="35">
                  <c:v>1394.5</c:v>
                </c:pt>
                <c:pt idx="36">
                  <c:v>1398</c:v>
                </c:pt>
                <c:pt idx="37">
                  <c:v>1401.5</c:v>
                </c:pt>
                <c:pt idx="38">
                  <c:v>1421</c:v>
                </c:pt>
                <c:pt idx="39">
                  <c:v>1453.5</c:v>
                </c:pt>
                <c:pt idx="40">
                  <c:v>1453.5</c:v>
                </c:pt>
                <c:pt idx="41">
                  <c:v>16831</c:v>
                </c:pt>
                <c:pt idx="42">
                  <c:v>19728</c:v>
                </c:pt>
                <c:pt idx="43">
                  <c:v>22584</c:v>
                </c:pt>
                <c:pt idx="44">
                  <c:v>23881</c:v>
                </c:pt>
                <c:pt idx="45">
                  <c:v>24834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9D-498C-8E4A-3D90E8A5213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2">
                    <c:v>0</c:v>
                  </c:pt>
                  <c:pt idx="42">
                    <c:v>5.0000000000000001E-3</c:v>
                  </c:pt>
                  <c:pt idx="43">
                    <c:v>4.0000000000000002E-4</c:v>
                  </c:pt>
                  <c:pt idx="44">
                    <c:v>8.0000000000000002E-3</c:v>
                  </c:pt>
                  <c:pt idx="45">
                    <c:v>3.0000000000000001E-3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2">
                    <c:v>0</c:v>
                  </c:pt>
                  <c:pt idx="42">
                    <c:v>5.0000000000000001E-3</c:v>
                  </c:pt>
                  <c:pt idx="43">
                    <c:v>4.0000000000000002E-4</c:v>
                  </c:pt>
                  <c:pt idx="44">
                    <c:v>8.0000000000000002E-3</c:v>
                  </c:pt>
                  <c:pt idx="4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-499.5</c:v>
                </c:pt>
                <c:pt idx="1">
                  <c:v>0</c:v>
                </c:pt>
                <c:pt idx="2">
                  <c:v>0</c:v>
                </c:pt>
                <c:pt idx="3">
                  <c:v>22</c:v>
                </c:pt>
                <c:pt idx="4">
                  <c:v>24.5</c:v>
                </c:pt>
                <c:pt idx="5">
                  <c:v>54.5</c:v>
                </c:pt>
                <c:pt idx="6">
                  <c:v>54.5</c:v>
                </c:pt>
                <c:pt idx="7">
                  <c:v>72</c:v>
                </c:pt>
                <c:pt idx="8">
                  <c:v>72.5</c:v>
                </c:pt>
                <c:pt idx="9">
                  <c:v>72.5</c:v>
                </c:pt>
                <c:pt idx="10">
                  <c:v>73</c:v>
                </c:pt>
                <c:pt idx="11">
                  <c:v>73.5</c:v>
                </c:pt>
                <c:pt idx="12">
                  <c:v>73.5</c:v>
                </c:pt>
                <c:pt idx="13">
                  <c:v>73.5</c:v>
                </c:pt>
                <c:pt idx="14">
                  <c:v>90.5</c:v>
                </c:pt>
                <c:pt idx="15">
                  <c:v>98.5</c:v>
                </c:pt>
                <c:pt idx="16">
                  <c:v>98.5</c:v>
                </c:pt>
                <c:pt idx="17">
                  <c:v>120.5</c:v>
                </c:pt>
                <c:pt idx="18">
                  <c:v>124</c:v>
                </c:pt>
                <c:pt idx="19">
                  <c:v>146</c:v>
                </c:pt>
                <c:pt idx="20">
                  <c:v>720.5</c:v>
                </c:pt>
                <c:pt idx="21">
                  <c:v>720.5</c:v>
                </c:pt>
                <c:pt idx="22">
                  <c:v>727.5</c:v>
                </c:pt>
                <c:pt idx="23">
                  <c:v>727.5</c:v>
                </c:pt>
                <c:pt idx="24">
                  <c:v>756.5</c:v>
                </c:pt>
                <c:pt idx="25">
                  <c:v>756.5</c:v>
                </c:pt>
                <c:pt idx="26">
                  <c:v>986.5</c:v>
                </c:pt>
                <c:pt idx="27">
                  <c:v>1006</c:v>
                </c:pt>
                <c:pt idx="28">
                  <c:v>1061.5</c:v>
                </c:pt>
                <c:pt idx="29">
                  <c:v>1318</c:v>
                </c:pt>
                <c:pt idx="30">
                  <c:v>1329.5</c:v>
                </c:pt>
                <c:pt idx="31">
                  <c:v>1355</c:v>
                </c:pt>
                <c:pt idx="32">
                  <c:v>1377</c:v>
                </c:pt>
                <c:pt idx="33">
                  <c:v>1390</c:v>
                </c:pt>
                <c:pt idx="34">
                  <c:v>1391</c:v>
                </c:pt>
                <c:pt idx="35">
                  <c:v>1394.5</c:v>
                </c:pt>
                <c:pt idx="36">
                  <c:v>1398</c:v>
                </c:pt>
                <c:pt idx="37">
                  <c:v>1401.5</c:v>
                </c:pt>
                <c:pt idx="38">
                  <c:v>1421</c:v>
                </c:pt>
                <c:pt idx="39">
                  <c:v>1453.5</c:v>
                </c:pt>
                <c:pt idx="40">
                  <c:v>1453.5</c:v>
                </c:pt>
                <c:pt idx="41">
                  <c:v>16831</c:v>
                </c:pt>
                <c:pt idx="42">
                  <c:v>19728</c:v>
                </c:pt>
                <c:pt idx="43">
                  <c:v>22584</c:v>
                </c:pt>
                <c:pt idx="44">
                  <c:v>23881</c:v>
                </c:pt>
                <c:pt idx="45">
                  <c:v>24834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9D-498C-8E4A-3D90E8A5213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2">
                    <c:v>0</c:v>
                  </c:pt>
                  <c:pt idx="42">
                    <c:v>5.0000000000000001E-3</c:v>
                  </c:pt>
                  <c:pt idx="43">
                    <c:v>4.0000000000000002E-4</c:v>
                  </c:pt>
                  <c:pt idx="44">
                    <c:v>8.0000000000000002E-3</c:v>
                  </c:pt>
                  <c:pt idx="45">
                    <c:v>3.0000000000000001E-3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2">
                    <c:v>0</c:v>
                  </c:pt>
                  <c:pt idx="42">
                    <c:v>5.0000000000000001E-3</c:v>
                  </c:pt>
                  <c:pt idx="43">
                    <c:v>4.0000000000000002E-4</c:v>
                  </c:pt>
                  <c:pt idx="44">
                    <c:v>8.0000000000000002E-3</c:v>
                  </c:pt>
                  <c:pt idx="4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-499.5</c:v>
                </c:pt>
                <c:pt idx="1">
                  <c:v>0</c:v>
                </c:pt>
                <c:pt idx="2">
                  <c:v>0</c:v>
                </c:pt>
                <c:pt idx="3">
                  <c:v>22</c:v>
                </c:pt>
                <c:pt idx="4">
                  <c:v>24.5</c:v>
                </c:pt>
                <c:pt idx="5">
                  <c:v>54.5</c:v>
                </c:pt>
                <c:pt idx="6">
                  <c:v>54.5</c:v>
                </c:pt>
                <c:pt idx="7">
                  <c:v>72</c:v>
                </c:pt>
                <c:pt idx="8">
                  <c:v>72.5</c:v>
                </c:pt>
                <c:pt idx="9">
                  <c:v>72.5</c:v>
                </c:pt>
                <c:pt idx="10">
                  <c:v>73</c:v>
                </c:pt>
                <c:pt idx="11">
                  <c:v>73.5</c:v>
                </c:pt>
                <c:pt idx="12">
                  <c:v>73.5</c:v>
                </c:pt>
                <c:pt idx="13">
                  <c:v>73.5</c:v>
                </c:pt>
                <c:pt idx="14">
                  <c:v>90.5</c:v>
                </c:pt>
                <c:pt idx="15">
                  <c:v>98.5</c:v>
                </c:pt>
                <c:pt idx="16">
                  <c:v>98.5</c:v>
                </c:pt>
                <c:pt idx="17">
                  <c:v>120.5</c:v>
                </c:pt>
                <c:pt idx="18">
                  <c:v>124</c:v>
                </c:pt>
                <c:pt idx="19">
                  <c:v>146</c:v>
                </c:pt>
                <c:pt idx="20">
                  <c:v>720.5</c:v>
                </c:pt>
                <c:pt idx="21">
                  <c:v>720.5</c:v>
                </c:pt>
                <c:pt idx="22">
                  <c:v>727.5</c:v>
                </c:pt>
                <c:pt idx="23">
                  <c:v>727.5</c:v>
                </c:pt>
                <c:pt idx="24">
                  <c:v>756.5</c:v>
                </c:pt>
                <c:pt idx="25">
                  <c:v>756.5</c:v>
                </c:pt>
                <c:pt idx="26">
                  <c:v>986.5</c:v>
                </c:pt>
                <c:pt idx="27">
                  <c:v>1006</c:v>
                </c:pt>
                <c:pt idx="28">
                  <c:v>1061.5</c:v>
                </c:pt>
                <c:pt idx="29">
                  <c:v>1318</c:v>
                </c:pt>
                <c:pt idx="30">
                  <c:v>1329.5</c:v>
                </c:pt>
                <c:pt idx="31">
                  <c:v>1355</c:v>
                </c:pt>
                <c:pt idx="32">
                  <c:v>1377</c:v>
                </c:pt>
                <c:pt idx="33">
                  <c:v>1390</c:v>
                </c:pt>
                <c:pt idx="34">
                  <c:v>1391</c:v>
                </c:pt>
                <c:pt idx="35">
                  <c:v>1394.5</c:v>
                </c:pt>
                <c:pt idx="36">
                  <c:v>1398</c:v>
                </c:pt>
                <c:pt idx="37">
                  <c:v>1401.5</c:v>
                </c:pt>
                <c:pt idx="38">
                  <c:v>1421</c:v>
                </c:pt>
                <c:pt idx="39">
                  <c:v>1453.5</c:v>
                </c:pt>
                <c:pt idx="40">
                  <c:v>1453.5</c:v>
                </c:pt>
                <c:pt idx="41">
                  <c:v>16831</c:v>
                </c:pt>
                <c:pt idx="42">
                  <c:v>19728</c:v>
                </c:pt>
                <c:pt idx="43">
                  <c:v>22584</c:v>
                </c:pt>
                <c:pt idx="44">
                  <c:v>23881</c:v>
                </c:pt>
                <c:pt idx="45">
                  <c:v>24834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9D-498C-8E4A-3D90E8A5213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-499.5</c:v>
                </c:pt>
                <c:pt idx="1">
                  <c:v>0</c:v>
                </c:pt>
                <c:pt idx="2">
                  <c:v>0</c:v>
                </c:pt>
                <c:pt idx="3">
                  <c:v>22</c:v>
                </c:pt>
                <c:pt idx="4">
                  <c:v>24.5</c:v>
                </c:pt>
                <c:pt idx="5">
                  <c:v>54.5</c:v>
                </c:pt>
                <c:pt idx="6">
                  <c:v>54.5</c:v>
                </c:pt>
                <c:pt idx="7">
                  <c:v>72</c:v>
                </c:pt>
                <c:pt idx="8">
                  <c:v>72.5</c:v>
                </c:pt>
                <c:pt idx="9">
                  <c:v>72.5</c:v>
                </c:pt>
                <c:pt idx="10">
                  <c:v>73</c:v>
                </c:pt>
                <c:pt idx="11">
                  <c:v>73.5</c:v>
                </c:pt>
                <c:pt idx="12">
                  <c:v>73.5</c:v>
                </c:pt>
                <c:pt idx="13">
                  <c:v>73.5</c:v>
                </c:pt>
                <c:pt idx="14">
                  <c:v>90.5</c:v>
                </c:pt>
                <c:pt idx="15">
                  <c:v>98.5</c:v>
                </c:pt>
                <c:pt idx="16">
                  <c:v>98.5</c:v>
                </c:pt>
                <c:pt idx="17">
                  <c:v>120.5</c:v>
                </c:pt>
                <c:pt idx="18">
                  <c:v>124</c:v>
                </c:pt>
                <c:pt idx="19">
                  <c:v>146</c:v>
                </c:pt>
                <c:pt idx="20">
                  <c:v>720.5</c:v>
                </c:pt>
                <c:pt idx="21">
                  <c:v>720.5</c:v>
                </c:pt>
                <c:pt idx="22">
                  <c:v>727.5</c:v>
                </c:pt>
                <c:pt idx="23">
                  <c:v>727.5</c:v>
                </c:pt>
                <c:pt idx="24">
                  <c:v>756.5</c:v>
                </c:pt>
                <c:pt idx="25">
                  <c:v>756.5</c:v>
                </c:pt>
                <c:pt idx="26">
                  <c:v>986.5</c:v>
                </c:pt>
                <c:pt idx="27">
                  <c:v>1006</c:v>
                </c:pt>
                <c:pt idx="28">
                  <c:v>1061.5</c:v>
                </c:pt>
                <c:pt idx="29">
                  <c:v>1318</c:v>
                </c:pt>
                <c:pt idx="30">
                  <c:v>1329.5</c:v>
                </c:pt>
                <c:pt idx="31">
                  <c:v>1355</c:v>
                </c:pt>
                <c:pt idx="32">
                  <c:v>1377</c:v>
                </c:pt>
                <c:pt idx="33">
                  <c:v>1390</c:v>
                </c:pt>
                <c:pt idx="34">
                  <c:v>1391</c:v>
                </c:pt>
                <c:pt idx="35">
                  <c:v>1394.5</c:v>
                </c:pt>
                <c:pt idx="36">
                  <c:v>1398</c:v>
                </c:pt>
                <c:pt idx="37">
                  <c:v>1401.5</c:v>
                </c:pt>
                <c:pt idx="38">
                  <c:v>1421</c:v>
                </c:pt>
                <c:pt idx="39">
                  <c:v>1453.5</c:v>
                </c:pt>
                <c:pt idx="40">
                  <c:v>1453.5</c:v>
                </c:pt>
                <c:pt idx="41">
                  <c:v>16831</c:v>
                </c:pt>
                <c:pt idx="42">
                  <c:v>19728</c:v>
                </c:pt>
                <c:pt idx="43">
                  <c:v>22584</c:v>
                </c:pt>
                <c:pt idx="44">
                  <c:v>23881</c:v>
                </c:pt>
                <c:pt idx="45">
                  <c:v>24834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9.5165664829620814E-2</c:v>
                </c:pt>
                <c:pt idx="1">
                  <c:v>5.8555544655083752E-2</c:v>
                </c:pt>
                <c:pt idx="2">
                  <c:v>5.8555544655083752E-2</c:v>
                </c:pt>
                <c:pt idx="3">
                  <c:v>5.6943086909658699E-2</c:v>
                </c:pt>
                <c:pt idx="4">
                  <c:v>5.6759853074951301E-2</c:v>
                </c:pt>
                <c:pt idx="5">
                  <c:v>5.456104705846259E-2</c:v>
                </c:pt>
                <c:pt idx="6">
                  <c:v>5.456104705846259E-2</c:v>
                </c:pt>
                <c:pt idx="7">
                  <c:v>5.3278410215510844E-2</c:v>
                </c:pt>
                <c:pt idx="8">
                  <c:v>5.3241763448569367E-2</c:v>
                </c:pt>
                <c:pt idx="9">
                  <c:v>5.3241763448569367E-2</c:v>
                </c:pt>
                <c:pt idx="10">
                  <c:v>5.3205116681627883E-2</c:v>
                </c:pt>
                <c:pt idx="11">
                  <c:v>5.3168469914686406E-2</c:v>
                </c:pt>
                <c:pt idx="12">
                  <c:v>5.3168469914686406E-2</c:v>
                </c:pt>
                <c:pt idx="13">
                  <c:v>5.3168469914686406E-2</c:v>
                </c:pt>
                <c:pt idx="14">
                  <c:v>5.1922479838676136E-2</c:v>
                </c:pt>
                <c:pt idx="15">
                  <c:v>5.1336131567612478E-2</c:v>
                </c:pt>
                <c:pt idx="16">
                  <c:v>5.1336131567612478E-2</c:v>
                </c:pt>
                <c:pt idx="17">
                  <c:v>4.9723673822187425E-2</c:v>
                </c:pt>
                <c:pt idx="18">
                  <c:v>4.9467146453597073E-2</c:v>
                </c:pt>
                <c:pt idx="19">
                  <c:v>4.785468870817202E-2</c:v>
                </c:pt>
                <c:pt idx="20">
                  <c:v>5.7475534924131752E-3</c:v>
                </c:pt>
                <c:pt idx="21">
                  <c:v>5.7475534924131752E-3</c:v>
                </c:pt>
                <c:pt idx="22">
                  <c:v>5.2344987552324779E-3</c:v>
                </c:pt>
                <c:pt idx="23">
                  <c:v>5.2344987552324779E-3</c:v>
                </c:pt>
                <c:pt idx="24">
                  <c:v>3.1089862726267209E-3</c:v>
                </c:pt>
                <c:pt idx="25">
                  <c:v>3.1089862726267209E-3</c:v>
                </c:pt>
                <c:pt idx="26">
                  <c:v>-1.3748526520453414E-2</c:v>
                </c:pt>
                <c:pt idx="27">
                  <c:v>-1.5177750431171075E-2</c:v>
                </c:pt>
                <c:pt idx="28">
                  <c:v>-1.9245541561675183E-2</c:v>
                </c:pt>
                <c:pt idx="29">
                  <c:v>-3.8045333002653683E-2</c:v>
                </c:pt>
                <c:pt idx="30">
                  <c:v>-3.8888208642307687E-2</c:v>
                </c:pt>
                <c:pt idx="31">
                  <c:v>-4.0757193756323098E-2</c:v>
                </c:pt>
                <c:pt idx="32">
                  <c:v>-4.2369651501748151E-2</c:v>
                </c:pt>
                <c:pt idx="33">
                  <c:v>-4.3322467442226592E-2</c:v>
                </c:pt>
                <c:pt idx="34">
                  <c:v>-4.3395760976109546E-2</c:v>
                </c:pt>
                <c:pt idx="35">
                  <c:v>-4.3652288344699891E-2</c:v>
                </c:pt>
                <c:pt idx="36">
                  <c:v>-4.390881571329025E-2</c:v>
                </c:pt>
                <c:pt idx="37">
                  <c:v>-4.4165343081880595E-2</c:v>
                </c:pt>
                <c:pt idx="38">
                  <c:v>-4.5594566992598257E-2</c:v>
                </c:pt>
                <c:pt idx="39">
                  <c:v>-4.7976606843794359E-2</c:v>
                </c:pt>
                <c:pt idx="40">
                  <c:v>-4.7976606843794359E-2</c:v>
                </c:pt>
                <c:pt idx="41">
                  <c:v>-1.1750479241289669</c:v>
                </c:pt>
                <c:pt idx="42">
                  <c:v>-1.3873792917878935</c:v>
                </c:pt>
                <c:pt idx="43">
                  <c:v>-1.5967056245576188</c:v>
                </c:pt>
                <c:pt idx="44">
                  <c:v>-1.6917673380038143</c:v>
                </c:pt>
                <c:pt idx="45">
                  <c:v>-1.7616160757942723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9D-498C-8E4A-3D90E8A5213D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Active!$V$2:$V$18</c:f>
              <c:numCache>
                <c:formatCode>General</c:formatCode>
                <c:ptCount val="17"/>
                <c:pt idx="0">
                  <c:v>-2000</c:v>
                </c:pt>
                <c:pt idx="1">
                  <c:v>0</c:v>
                </c:pt>
                <c:pt idx="2">
                  <c:v>2000</c:v>
                </c:pt>
                <c:pt idx="3">
                  <c:v>4000</c:v>
                </c:pt>
                <c:pt idx="4">
                  <c:v>6000</c:v>
                </c:pt>
                <c:pt idx="5">
                  <c:v>8000</c:v>
                </c:pt>
                <c:pt idx="6">
                  <c:v>10000</c:v>
                </c:pt>
                <c:pt idx="7">
                  <c:v>12000</c:v>
                </c:pt>
                <c:pt idx="8">
                  <c:v>14000</c:v>
                </c:pt>
                <c:pt idx="9">
                  <c:v>16000</c:v>
                </c:pt>
                <c:pt idx="10">
                  <c:v>18000</c:v>
                </c:pt>
                <c:pt idx="11">
                  <c:v>20000</c:v>
                </c:pt>
                <c:pt idx="12">
                  <c:v>22000</c:v>
                </c:pt>
                <c:pt idx="13">
                  <c:v>24000</c:v>
                </c:pt>
                <c:pt idx="14">
                  <c:v>26000</c:v>
                </c:pt>
                <c:pt idx="15">
                  <c:v>28000</c:v>
                </c:pt>
                <c:pt idx="16">
                  <c:v>30000</c:v>
                </c:pt>
              </c:numCache>
            </c:numRef>
          </c:xVal>
          <c:yVal>
            <c:numRef>
              <c:f>Active!$W$2:$W$18</c:f>
              <c:numCache>
                <c:formatCode>General</c:formatCode>
                <c:ptCount val="17"/>
                <c:pt idx="0">
                  <c:v>0.31173365732619696</c:v>
                </c:pt>
                <c:pt idx="1">
                  <c:v>7.0072240554760398E-2</c:v>
                </c:pt>
                <c:pt idx="2">
                  <c:v>-0.15613780922562745</c:v>
                </c:pt>
                <c:pt idx="3">
                  <c:v>-0.36689649201496655</c:v>
                </c:pt>
                <c:pt idx="4">
                  <c:v>-0.56220380781325696</c:v>
                </c:pt>
                <c:pt idx="5">
                  <c:v>-0.74205975662049861</c:v>
                </c:pt>
                <c:pt idx="6">
                  <c:v>-0.90646433843669139</c:v>
                </c:pt>
                <c:pt idx="7">
                  <c:v>-1.0554175532618357</c:v>
                </c:pt>
                <c:pt idx="8">
                  <c:v>-1.1889194010959312</c:v>
                </c:pt>
                <c:pt idx="9">
                  <c:v>-1.3069698819389779</c:v>
                </c:pt>
                <c:pt idx="10">
                  <c:v>-1.4095689957909761</c:v>
                </c:pt>
                <c:pt idx="11">
                  <c:v>-1.4967167426519254</c:v>
                </c:pt>
                <c:pt idx="12">
                  <c:v>-1.5684131225218261</c:v>
                </c:pt>
                <c:pt idx="13">
                  <c:v>-1.6246581354006782</c:v>
                </c:pt>
                <c:pt idx="14">
                  <c:v>-1.6654517812884813</c:v>
                </c:pt>
                <c:pt idx="15">
                  <c:v>-1.6907940601852358</c:v>
                </c:pt>
                <c:pt idx="16">
                  <c:v>-1.7006849720909416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89D-498C-8E4A-3D90E8A52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206528"/>
        <c:axId val="1"/>
      </c:scatterChart>
      <c:valAx>
        <c:axId val="682206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23740117591688"/>
              <c:y val="0.868903719352154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32218844984802E-2"/>
              <c:y val="0.384146981627296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2065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069924770042041"/>
          <c:y val="0.92073298764483702"/>
          <c:w val="0.82978787226064821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18</xdr:col>
      <xdr:colOff>352425</xdr:colOff>
      <xdr:row>18</xdr:row>
      <xdr:rowOff>76200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FD18C32F-9458-4747-9BF3-0E6413EDAF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6029" TargetMode="External"/><Relationship Id="rId2" Type="http://schemas.openxmlformats.org/officeDocument/2006/relationships/hyperlink" Target="http://var.astro.cz/oejv/issues/oejv0116.pdf" TargetMode="External"/><Relationship Id="rId1" Type="http://schemas.openxmlformats.org/officeDocument/2006/relationships/hyperlink" Target="http://www.konkoly.hu/cgi-bin/IBVS?56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4"/>
  <sheetViews>
    <sheetView tabSelected="1" workbookViewId="0">
      <pane xSplit="14" ySplit="22" topLeftCell="O45" activePane="bottomRight" state="frozen"/>
      <selection pane="topRight" activeCell="O1" sqref="O1"/>
      <selection pane="bottomLeft" activeCell="A23" sqref="A23"/>
      <selection pane="bottomRight" activeCell="A66" sqref="A6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3" s="3" customFormat="1" ht="21" thickBot="1" x14ac:dyDescent="0.25">
      <c r="A1" s="66" t="s">
        <v>35</v>
      </c>
      <c r="V1" s="42" t="s">
        <v>9</v>
      </c>
      <c r="W1" s="59" t="s">
        <v>21</v>
      </c>
    </row>
    <row r="2" spans="1:23" s="3" customFormat="1" ht="12.95" customHeight="1" x14ac:dyDescent="0.2">
      <c r="A2" s="3" t="s">
        <v>23</v>
      </c>
      <c r="B2" s="30" t="s">
        <v>36</v>
      </c>
      <c r="V2" s="31">
        <v>-2000</v>
      </c>
      <c r="W2" s="31">
        <f t="shared" ref="W2:W18" si="0">+D$11+D$12*V2+D$13*V2^2</f>
        <v>0.31173365732619696</v>
      </c>
    </row>
    <row r="3" spans="1:23" s="3" customFormat="1" ht="12.95" customHeight="1" thickBot="1" x14ac:dyDescent="0.25">
      <c r="C3" s="32" t="s">
        <v>210</v>
      </c>
      <c r="V3" s="31">
        <v>0</v>
      </c>
      <c r="W3" s="31">
        <f t="shared" si="0"/>
        <v>7.0072240554760398E-2</v>
      </c>
    </row>
    <row r="4" spans="1:23" s="3" customFormat="1" ht="12.95" customHeight="1" thickTop="1" thickBot="1" x14ac:dyDescent="0.25">
      <c r="A4" s="33" t="s">
        <v>0</v>
      </c>
      <c r="C4" s="34">
        <v>27901.995999999999</v>
      </c>
      <c r="D4" s="35">
        <v>1.134676</v>
      </c>
      <c r="V4" s="31">
        <v>2000</v>
      </c>
      <c r="W4" s="31">
        <f t="shared" si="0"/>
        <v>-0.15613780922562745</v>
      </c>
    </row>
    <row r="5" spans="1:23" s="3" customFormat="1" ht="12.95" customHeight="1" thickTop="1" x14ac:dyDescent="0.2">
      <c r="A5" s="36" t="s">
        <v>37</v>
      </c>
      <c r="C5" s="37">
        <v>-9.5</v>
      </c>
      <c r="D5" s="3" t="s">
        <v>38</v>
      </c>
      <c r="V5" s="31">
        <v>4000</v>
      </c>
      <c r="W5" s="31">
        <f t="shared" si="0"/>
        <v>-0.36689649201496655</v>
      </c>
    </row>
    <row r="6" spans="1:23" s="3" customFormat="1" ht="12.95" customHeight="1" x14ac:dyDescent="0.2">
      <c r="A6" s="33" t="s">
        <v>1</v>
      </c>
      <c r="V6" s="31">
        <v>6000</v>
      </c>
      <c r="W6" s="31">
        <f t="shared" si="0"/>
        <v>-0.56220380781325696</v>
      </c>
    </row>
    <row r="7" spans="1:23" s="3" customFormat="1" ht="12.95" customHeight="1" x14ac:dyDescent="0.2">
      <c r="A7" s="3" t="s">
        <v>2</v>
      </c>
      <c r="C7" s="3">
        <f>+C4</f>
        <v>27901.995999999999</v>
      </c>
      <c r="V7" s="31">
        <v>8000</v>
      </c>
      <c r="W7" s="31">
        <f t="shared" si="0"/>
        <v>-0.74205975662049861</v>
      </c>
    </row>
    <row r="8" spans="1:23" s="3" customFormat="1" ht="12.95" customHeight="1" x14ac:dyDescent="0.2">
      <c r="A8" s="3" t="s">
        <v>3</v>
      </c>
      <c r="C8" s="3">
        <f>+D4</f>
        <v>1.134676</v>
      </c>
      <c r="V8" s="31">
        <v>10000</v>
      </c>
      <c r="W8" s="31">
        <f t="shared" si="0"/>
        <v>-0.90646433843669139</v>
      </c>
    </row>
    <row r="9" spans="1:23" s="3" customFormat="1" ht="12.95" customHeight="1" x14ac:dyDescent="0.2">
      <c r="A9" s="38" t="s">
        <v>45</v>
      </c>
      <c r="B9" s="39">
        <v>22</v>
      </c>
      <c r="C9" s="40" t="str">
        <f>"F"&amp;B9</f>
        <v>F22</v>
      </c>
      <c r="D9" s="41" t="str">
        <f>"G"&amp;B9</f>
        <v>G22</v>
      </c>
      <c r="V9" s="31">
        <v>12000</v>
      </c>
      <c r="W9" s="31">
        <f t="shared" si="0"/>
        <v>-1.0554175532618357</v>
      </c>
    </row>
    <row r="10" spans="1:23" s="3" customFormat="1" ht="12.95" customHeight="1" thickBot="1" x14ac:dyDescent="0.25">
      <c r="C10" s="42" t="s">
        <v>19</v>
      </c>
      <c r="D10" s="42" t="s">
        <v>20</v>
      </c>
      <c r="V10" s="31">
        <v>14000</v>
      </c>
      <c r="W10" s="31">
        <f t="shared" si="0"/>
        <v>-1.1889194010959312</v>
      </c>
    </row>
    <row r="11" spans="1:23" s="3" customFormat="1" ht="12.95" customHeight="1" x14ac:dyDescent="0.2">
      <c r="A11" s="3" t="s">
        <v>15</v>
      </c>
      <c r="C11" s="41">
        <f ca="1">INTERCEPT(INDIRECT($D$9):G992,INDIRECT($C$9):F992)</f>
        <v>5.8555544655083752E-2</v>
      </c>
      <c r="D11" s="43">
        <f>+E11*F11</f>
        <v>7.0072240554760398E-2</v>
      </c>
      <c r="E11" s="44">
        <v>700.72240554760401</v>
      </c>
      <c r="F11" s="3">
        <v>1E-4</v>
      </c>
      <c r="V11" s="31">
        <v>16000</v>
      </c>
      <c r="W11" s="31">
        <f t="shared" si="0"/>
        <v>-1.3069698819389779</v>
      </c>
    </row>
    <row r="12" spans="1:23" s="3" customFormat="1" ht="12.95" customHeight="1" x14ac:dyDescent="0.2">
      <c r="A12" s="3" t="s">
        <v>16</v>
      </c>
      <c r="C12" s="41">
        <f ca="1">SLOPE(INDIRECT($D$9):G992,INDIRECT($C$9):F992)</f>
        <v>-7.3293533882957081E-5</v>
      </c>
      <c r="D12" s="43">
        <f>+E12*F12</f>
        <v>-1.1696786663795609E-4</v>
      </c>
      <c r="E12" s="45">
        <v>-1.1696786663795609</v>
      </c>
      <c r="F12" s="46">
        <v>1E-4</v>
      </c>
      <c r="V12" s="31">
        <v>18000</v>
      </c>
      <c r="W12" s="31">
        <f t="shared" si="0"/>
        <v>-1.4095689957909761</v>
      </c>
    </row>
    <row r="13" spans="1:23" s="3" customFormat="1" ht="12.95" customHeight="1" thickBot="1" x14ac:dyDescent="0.25">
      <c r="A13" s="3" t="s">
        <v>18</v>
      </c>
      <c r="C13" s="43" t="s">
        <v>13</v>
      </c>
      <c r="D13" s="43">
        <f>+E13*F13</f>
        <v>1.93142087388109E-9</v>
      </c>
      <c r="E13" s="47">
        <v>1.9314208738810896</v>
      </c>
      <c r="F13" s="46">
        <v>1.0000000000000001E-9</v>
      </c>
      <c r="V13" s="31">
        <v>20000</v>
      </c>
      <c r="W13" s="31">
        <f t="shared" si="0"/>
        <v>-1.4967167426519254</v>
      </c>
    </row>
    <row r="14" spans="1:23" s="3" customFormat="1" ht="12.95" customHeight="1" x14ac:dyDescent="0.2">
      <c r="E14" s="3">
        <f>SUM(T21:T950)</f>
        <v>7.2191018947247827E-6</v>
      </c>
      <c r="V14" s="31">
        <v>22000</v>
      </c>
      <c r="W14" s="31">
        <f t="shared" si="0"/>
        <v>-1.5684131225218261</v>
      </c>
    </row>
    <row r="15" spans="1:23" s="3" customFormat="1" ht="12.95" customHeight="1" x14ac:dyDescent="0.2">
      <c r="A15" s="48" t="s">
        <v>17</v>
      </c>
      <c r="C15" s="49">
        <f ca="1">(C7+C11)+(C8+C12)*INT(MAX(F21:F3533))</f>
        <v>56078.778167924203</v>
      </c>
      <c r="D15" s="41">
        <f>+C7+INT(MAX(F21:F1588))*C8+D11+D12*INT(MAX(F21:F4023))+D13*INT(MAX(F21:F4050)^2)</f>
        <v>56078.896236715627</v>
      </c>
      <c r="E15" s="50" t="s">
        <v>43</v>
      </c>
      <c r="F15" s="37">
        <v>1</v>
      </c>
      <c r="V15" s="31">
        <v>24000</v>
      </c>
      <c r="W15" s="31">
        <f t="shared" si="0"/>
        <v>-1.6246581354006782</v>
      </c>
    </row>
    <row r="16" spans="1:23" s="3" customFormat="1" ht="12.95" customHeight="1" x14ac:dyDescent="0.2">
      <c r="A16" s="33" t="s">
        <v>4</v>
      </c>
      <c r="C16" s="51">
        <f ca="1">+C8+C12</f>
        <v>1.1346027064661171</v>
      </c>
      <c r="D16" s="41">
        <f>+C8+D12+2*D13*MAX(F21:F896)</f>
        <v>1.1346549619453259</v>
      </c>
      <c r="E16" s="50" t="s">
        <v>39</v>
      </c>
      <c r="F16" s="52">
        <f ca="1">NOW()+15018.5+$C$5/24</f>
        <v>60374.785361226852</v>
      </c>
      <c r="V16" s="31">
        <v>26000</v>
      </c>
      <c r="W16" s="31">
        <f t="shared" si="0"/>
        <v>-1.6654517812884813</v>
      </c>
    </row>
    <row r="17" spans="1:23" s="3" customFormat="1" ht="12.95" customHeight="1" thickBot="1" x14ac:dyDescent="0.25">
      <c r="A17" s="50" t="s">
        <v>32</v>
      </c>
      <c r="C17" s="3">
        <f>COUNT(C21:C2191)</f>
        <v>46</v>
      </c>
      <c r="E17" s="50" t="s">
        <v>44</v>
      </c>
      <c r="F17" s="52">
        <f ca="1">ROUND(2*(F16-$C$7)/$C$8,0)/2+F15</f>
        <v>28619.5</v>
      </c>
      <c r="V17" s="31">
        <v>28000</v>
      </c>
      <c r="W17" s="31">
        <f t="shared" si="0"/>
        <v>-1.6907940601852358</v>
      </c>
    </row>
    <row r="18" spans="1:23" s="3" customFormat="1" ht="12.95" customHeight="1" thickTop="1" thickBot="1" x14ac:dyDescent="0.25">
      <c r="A18" s="33" t="s">
        <v>205</v>
      </c>
      <c r="C18" s="53">
        <f ca="1">+C15</f>
        <v>56078.778167924203</v>
      </c>
      <c r="D18" s="54">
        <f ca="1">C16</f>
        <v>1.1346027064661171</v>
      </c>
      <c r="E18" s="50" t="s">
        <v>40</v>
      </c>
      <c r="F18" s="41">
        <f ca="1">ROUND(2*(F16-$C$15)/$C$16,0)/2+F15</f>
        <v>3787.5</v>
      </c>
      <c r="V18" s="31">
        <v>30000</v>
      </c>
      <c r="W18" s="31">
        <f t="shared" si="0"/>
        <v>-1.7006849720909416</v>
      </c>
    </row>
    <row r="19" spans="1:23" s="3" customFormat="1" ht="12.95" customHeight="1" thickBot="1" x14ac:dyDescent="0.25">
      <c r="A19" s="33" t="s">
        <v>206</v>
      </c>
      <c r="C19" s="55">
        <f>+D15</f>
        <v>56078.896236715627</v>
      </c>
      <c r="D19" s="56">
        <f>+D16</f>
        <v>1.1346549619453259</v>
      </c>
      <c r="E19" s="50" t="s">
        <v>41</v>
      </c>
      <c r="F19" s="57">
        <f ca="1">+$C$15+$C$16*F18-15018.5-$C$5/24</f>
        <v>45357.981751997955</v>
      </c>
      <c r="V19" s="31"/>
    </row>
    <row r="20" spans="1:23" s="3" customFormat="1" ht="12.95" customHeight="1" thickBot="1" x14ac:dyDescent="0.25">
      <c r="A20" s="42" t="s">
        <v>5</v>
      </c>
      <c r="B20" s="42" t="s">
        <v>6</v>
      </c>
      <c r="C20" s="42" t="s">
        <v>7</v>
      </c>
      <c r="D20" s="42" t="s">
        <v>12</v>
      </c>
      <c r="E20" s="42" t="s">
        <v>8</v>
      </c>
      <c r="F20" s="42" t="s">
        <v>9</v>
      </c>
      <c r="G20" s="42" t="s">
        <v>10</v>
      </c>
      <c r="H20" s="58" t="s">
        <v>11</v>
      </c>
      <c r="I20" s="58" t="s">
        <v>57</v>
      </c>
      <c r="J20" s="58" t="s">
        <v>51</v>
      </c>
      <c r="K20" s="58" t="s">
        <v>49</v>
      </c>
      <c r="L20" s="58" t="s">
        <v>24</v>
      </c>
      <c r="M20" s="58" t="s">
        <v>25</v>
      </c>
      <c r="N20" s="58" t="s">
        <v>26</v>
      </c>
      <c r="O20" s="58" t="s">
        <v>22</v>
      </c>
      <c r="P20" s="59" t="s">
        <v>21</v>
      </c>
      <c r="Q20" s="42" t="s">
        <v>14</v>
      </c>
      <c r="R20" s="60" t="s">
        <v>207</v>
      </c>
      <c r="S20" s="60" t="s">
        <v>208</v>
      </c>
      <c r="T20" s="60" t="s">
        <v>209</v>
      </c>
      <c r="V20" s="31"/>
    </row>
    <row r="21" spans="1:23" s="3" customFormat="1" ht="12.95" customHeight="1" x14ac:dyDescent="0.2">
      <c r="A21" s="61" t="s">
        <v>64</v>
      </c>
      <c r="B21" s="62" t="s">
        <v>204</v>
      </c>
      <c r="C21" s="61">
        <v>27335.292000000001</v>
      </c>
      <c r="D21" s="63"/>
      <c r="E21" s="3">
        <f t="shared" ref="E21:E66" si="1">+(C21-C$7)/C$8</f>
        <v>-499.44125018947955</v>
      </c>
      <c r="F21" s="3">
        <f t="shared" ref="F21:F61" si="2">ROUND(2*E21,0)/2</f>
        <v>-499.5</v>
      </c>
      <c r="G21" s="3">
        <f>+C21-(C$7+F21*C$8)</f>
        <v>6.6662000001088018E-2</v>
      </c>
      <c r="I21" s="3">
        <f>+G21</f>
        <v>6.6662000001088018E-2</v>
      </c>
      <c r="O21" s="3">
        <f t="shared" ref="O21:O66" ca="1" si="3">+C$11+C$12*$F21</f>
        <v>9.5165664829620814E-2</v>
      </c>
      <c r="P21" s="3">
        <f>+D$11+D$12*F21+D$13*F21^2</f>
        <v>0.12897957993130801</v>
      </c>
      <c r="Q21" s="64">
        <f t="shared" ref="Q21:Q66" si="4">+C21-15018.5</f>
        <v>12316.792000000001</v>
      </c>
      <c r="R21" s="3">
        <f>+(P21-G21)^2</f>
        <v>3.8834807683593583E-3</v>
      </c>
      <c r="S21" s="43">
        <v>0.2</v>
      </c>
      <c r="V21" s="31"/>
    </row>
    <row r="22" spans="1:23" s="3" customFormat="1" ht="12.95" customHeight="1" x14ac:dyDescent="0.2">
      <c r="A22" s="61" t="s">
        <v>64</v>
      </c>
      <c r="B22" s="62" t="s">
        <v>34</v>
      </c>
      <c r="C22" s="61">
        <v>27901.98</v>
      </c>
      <c r="D22" s="63"/>
      <c r="E22" s="3">
        <f t="shared" si="1"/>
        <v>-1.4100941590041254E-2</v>
      </c>
      <c r="F22" s="3">
        <f t="shared" si="2"/>
        <v>0</v>
      </c>
      <c r="G22" s="3">
        <f>+C22-(C$7+F22*C$8)</f>
        <v>-1.599999999962165E-2</v>
      </c>
      <c r="I22" s="3">
        <f>+G22</f>
        <v>-1.599999999962165E-2</v>
      </c>
      <c r="O22" s="3">
        <f t="shared" ca="1" si="3"/>
        <v>5.8555544655083752E-2</v>
      </c>
      <c r="P22" s="3">
        <f>+D$11+D$12*F22+D$13*F22^2</f>
        <v>7.0072240554760398E-2</v>
      </c>
      <c r="Q22" s="64">
        <f t="shared" si="4"/>
        <v>12883.48</v>
      </c>
      <c r="R22" s="3">
        <f t="shared" ref="R22:R66" si="5">+(P22-G22)^2</f>
        <v>7.4084305940514093E-3</v>
      </c>
      <c r="S22" s="43">
        <v>0.2</v>
      </c>
    </row>
    <row r="23" spans="1:23" s="3" customFormat="1" ht="12.95" customHeight="1" x14ac:dyDescent="0.2">
      <c r="A23" s="3" t="s">
        <v>11</v>
      </c>
      <c r="C23" s="65">
        <v>27901.995999999999</v>
      </c>
      <c r="D23" s="65" t="s">
        <v>13</v>
      </c>
      <c r="E23" s="3">
        <f t="shared" si="1"/>
        <v>0</v>
      </c>
      <c r="F23" s="3">
        <f t="shared" si="2"/>
        <v>0</v>
      </c>
      <c r="G23" s="3">
        <f>+C23-(C$7+F23*C$8)</f>
        <v>0</v>
      </c>
      <c r="H23" s="41">
        <f>G23</f>
        <v>0</v>
      </c>
      <c r="O23" s="3">
        <f t="shared" ca="1" si="3"/>
        <v>5.8555544655083752E-2</v>
      </c>
      <c r="P23" s="3">
        <f t="shared" ref="P23:P66" si="6">+D$11+D$12*F23+D$13*F23^2</f>
        <v>7.0072240554760398E-2</v>
      </c>
      <c r="Q23" s="64">
        <f t="shared" si="4"/>
        <v>12883.495999999999</v>
      </c>
      <c r="R23" s="3">
        <f t="shared" si="5"/>
        <v>4.9101188963642075E-3</v>
      </c>
      <c r="S23" s="43">
        <v>0.2</v>
      </c>
    </row>
    <row r="24" spans="1:23" s="3" customFormat="1" ht="12.95" customHeight="1" x14ac:dyDescent="0.2">
      <c r="A24" s="61" t="s">
        <v>64</v>
      </c>
      <c r="B24" s="62" t="s">
        <v>34</v>
      </c>
      <c r="C24" s="61">
        <v>27926.933000000001</v>
      </c>
      <c r="D24" s="63"/>
      <c r="E24" s="3">
        <f t="shared" si="1"/>
        <v>21.977198777449878</v>
      </c>
      <c r="F24" s="3">
        <f t="shared" si="2"/>
        <v>22</v>
      </c>
      <c r="G24" s="3">
        <f t="shared" ref="G24:G66" si="7">+C24-(C$7+F24*C$8)</f>
        <v>-2.5871999998344108E-2</v>
      </c>
      <c r="I24" s="3">
        <f>+G24</f>
        <v>-2.5871999998344108E-2</v>
      </c>
      <c r="O24" s="3">
        <f t="shared" ca="1" si="3"/>
        <v>5.6943086909658699E-2</v>
      </c>
      <c r="P24" s="3">
        <f t="shared" si="6"/>
        <v>6.7499882296428323E-2</v>
      </c>
      <c r="Q24" s="64">
        <f t="shared" si="4"/>
        <v>12908.433000000001</v>
      </c>
      <c r="R24" s="3">
        <f t="shared" si="5"/>
        <v>8.7183084032688377E-3</v>
      </c>
      <c r="S24" s="43">
        <v>0.2</v>
      </c>
    </row>
    <row r="25" spans="1:23" s="3" customFormat="1" ht="12.95" customHeight="1" x14ac:dyDescent="0.2">
      <c r="A25" s="61" t="s">
        <v>64</v>
      </c>
      <c r="B25" s="62" t="s">
        <v>204</v>
      </c>
      <c r="C25" s="61">
        <v>27929.813999999998</v>
      </c>
      <c r="D25" s="63"/>
      <c r="E25" s="3">
        <f t="shared" si="1"/>
        <v>24.516249572564593</v>
      </c>
      <c r="F25" s="3">
        <f t="shared" si="2"/>
        <v>24.5</v>
      </c>
      <c r="G25" s="3">
        <f t="shared" si="7"/>
        <v>1.8437999999150634E-2</v>
      </c>
      <c r="I25" s="3">
        <f>+G25</f>
        <v>1.8437999999150634E-2</v>
      </c>
      <c r="O25" s="3">
        <f t="shared" ca="1" si="3"/>
        <v>5.6759853074951301E-2</v>
      </c>
      <c r="P25" s="3">
        <f t="shared" si="6"/>
        <v>6.7207687157510021E-2</v>
      </c>
      <c r="Q25" s="64">
        <f t="shared" si="4"/>
        <v>12911.313999999998</v>
      </c>
      <c r="R25" s="3">
        <f t="shared" si="5"/>
        <v>2.3784823855242444E-3</v>
      </c>
      <c r="S25" s="43">
        <v>0.2</v>
      </c>
    </row>
    <row r="26" spans="1:23" s="3" customFormat="1" ht="12.95" customHeight="1" x14ac:dyDescent="0.2">
      <c r="A26" s="61" t="s">
        <v>64</v>
      </c>
      <c r="B26" s="62" t="s">
        <v>204</v>
      </c>
      <c r="C26" s="61">
        <v>27963.821</v>
      </c>
      <c r="D26" s="63"/>
      <c r="E26" s="3">
        <f t="shared" si="1"/>
        <v>54.486919614057868</v>
      </c>
      <c r="F26" s="3">
        <f t="shared" si="2"/>
        <v>54.5</v>
      </c>
      <c r="G26" s="3">
        <f t="shared" si="7"/>
        <v>-1.4842000000498956E-2</v>
      </c>
      <c r="I26" s="3">
        <f>+G26</f>
        <v>-1.4842000000498956E-2</v>
      </c>
      <c r="O26" s="3">
        <f t="shared" ca="1" si="3"/>
        <v>5.456104705846259E-2</v>
      </c>
      <c r="P26" s="3">
        <f t="shared" si="6"/>
        <v>6.3703228625842434E-2</v>
      </c>
      <c r="Q26" s="64">
        <f t="shared" si="4"/>
        <v>12945.321</v>
      </c>
      <c r="R26" s="3">
        <f t="shared" si="5"/>
        <v>6.1693529399642387E-3</v>
      </c>
      <c r="S26" s="43">
        <v>0.2</v>
      </c>
    </row>
    <row r="27" spans="1:23" s="3" customFormat="1" ht="12.95" customHeight="1" x14ac:dyDescent="0.2">
      <c r="A27" s="61" t="s">
        <v>64</v>
      </c>
      <c r="B27" s="62" t="s">
        <v>204</v>
      </c>
      <c r="C27" s="61">
        <v>27963.878000000001</v>
      </c>
      <c r="D27" s="63"/>
      <c r="E27" s="3">
        <f t="shared" si="1"/>
        <v>54.537154218474193</v>
      </c>
      <c r="F27" s="3">
        <f t="shared" si="2"/>
        <v>54.5</v>
      </c>
      <c r="G27" s="3">
        <f t="shared" si="7"/>
        <v>4.2158000000199536E-2</v>
      </c>
      <c r="I27" s="3">
        <f>+G27</f>
        <v>4.2158000000199536E-2</v>
      </c>
      <c r="O27" s="3">
        <f t="shared" ca="1" si="3"/>
        <v>5.456104705846259E-2</v>
      </c>
      <c r="P27" s="3">
        <f t="shared" si="6"/>
        <v>6.3703228625842434E-2</v>
      </c>
      <c r="Q27" s="64">
        <f t="shared" si="4"/>
        <v>12945.378000000001</v>
      </c>
      <c r="R27" s="3">
        <f t="shared" si="5"/>
        <v>4.6419687653122217E-4</v>
      </c>
      <c r="S27" s="43">
        <v>0.2</v>
      </c>
    </row>
    <row r="28" spans="1:23" s="3" customFormat="1" ht="12.95" customHeight="1" x14ac:dyDescent="0.2">
      <c r="A28" s="61" t="s">
        <v>64</v>
      </c>
      <c r="B28" s="62" t="s">
        <v>34</v>
      </c>
      <c r="C28" s="61">
        <v>27983.723999999998</v>
      </c>
      <c r="D28" s="43"/>
      <c r="E28" s="3">
        <f t="shared" si="1"/>
        <v>72.027609643633212</v>
      </c>
      <c r="F28" s="3">
        <f t="shared" si="2"/>
        <v>72</v>
      </c>
      <c r="G28" s="3">
        <f t="shared" si="7"/>
        <v>3.1328000000939937E-2</v>
      </c>
      <c r="I28" s="3">
        <f>+G28</f>
        <v>3.1328000000939937E-2</v>
      </c>
      <c r="O28" s="3">
        <f t="shared" ca="1" si="3"/>
        <v>5.3278410215510844E-2</v>
      </c>
      <c r="P28" s="3">
        <f t="shared" si="6"/>
        <v>6.1660566642637762E-2</v>
      </c>
      <c r="Q28" s="64">
        <f t="shared" si="4"/>
        <v>12965.223999999998</v>
      </c>
      <c r="R28" s="3">
        <f t="shared" si="5"/>
        <v>9.2006459907303972E-4</v>
      </c>
      <c r="S28" s="43">
        <v>0.2</v>
      </c>
    </row>
    <row r="29" spans="1:23" s="3" customFormat="1" ht="12.95" customHeight="1" x14ac:dyDescent="0.2">
      <c r="A29" s="61" t="s">
        <v>64</v>
      </c>
      <c r="B29" s="62" t="s">
        <v>204</v>
      </c>
      <c r="C29" s="61">
        <v>27984.27</v>
      </c>
      <c r="D29" s="43"/>
      <c r="E29" s="3">
        <f t="shared" si="1"/>
        <v>72.50880427540659</v>
      </c>
      <c r="F29" s="3">
        <f t="shared" si="2"/>
        <v>72.5</v>
      </c>
      <c r="G29" s="3">
        <f t="shared" si="7"/>
        <v>9.9900000022898894E-3</v>
      </c>
      <c r="I29" s="3">
        <f>+G29</f>
        <v>9.9900000022898894E-3</v>
      </c>
      <c r="O29" s="3">
        <f t="shared" ca="1" si="3"/>
        <v>5.3241763448569367E-2</v>
      </c>
      <c r="P29" s="3">
        <f t="shared" si="6"/>
        <v>6.1602222254476924E-2</v>
      </c>
      <c r="Q29" s="64">
        <f t="shared" si="4"/>
        <v>12965.77</v>
      </c>
      <c r="R29" s="3">
        <f t="shared" si="5"/>
        <v>2.6638214858091505E-3</v>
      </c>
      <c r="S29" s="43">
        <v>0.2</v>
      </c>
    </row>
    <row r="30" spans="1:23" x14ac:dyDescent="0.2">
      <c r="A30" s="27" t="s">
        <v>64</v>
      </c>
      <c r="B30" s="28" t="s">
        <v>204</v>
      </c>
      <c r="C30" s="27">
        <v>27984.292000000001</v>
      </c>
      <c r="D30" s="2"/>
      <c r="E30">
        <f t="shared" si="1"/>
        <v>72.528193070094105</v>
      </c>
      <c r="F30">
        <f t="shared" si="2"/>
        <v>72.5</v>
      </c>
      <c r="G30">
        <f t="shared" si="7"/>
        <v>3.19900000031339E-2</v>
      </c>
      <c r="I30">
        <f>+G30</f>
        <v>3.19900000031339E-2</v>
      </c>
      <c r="O30">
        <f t="shared" ca="1" si="3"/>
        <v>5.3241763448569367E-2</v>
      </c>
      <c r="P30">
        <f t="shared" si="6"/>
        <v>6.1602222254476924E-2</v>
      </c>
      <c r="Q30" s="1">
        <f t="shared" si="4"/>
        <v>12965.792000000001</v>
      </c>
      <c r="R30">
        <f t="shared" si="5"/>
        <v>8.7688370666293483E-4</v>
      </c>
      <c r="S30" s="2">
        <v>0.2</v>
      </c>
    </row>
    <row r="31" spans="1:23" x14ac:dyDescent="0.2">
      <c r="A31" s="27" t="s">
        <v>64</v>
      </c>
      <c r="B31" s="28" t="s">
        <v>34</v>
      </c>
      <c r="C31" s="27">
        <v>27984.83</v>
      </c>
      <c r="D31" s="2"/>
      <c r="E31">
        <f t="shared" si="1"/>
        <v>73.002337231070854</v>
      </c>
      <c r="F31">
        <f t="shared" si="2"/>
        <v>73</v>
      </c>
      <c r="G31">
        <f t="shared" si="7"/>
        <v>2.652000002854038E-3</v>
      </c>
      <c r="I31">
        <f>+G31</f>
        <v>2.652000002854038E-3</v>
      </c>
      <c r="O31">
        <f t="shared" ca="1" si="3"/>
        <v>5.3205116681627883E-2</v>
      </c>
      <c r="P31">
        <f t="shared" si="6"/>
        <v>6.1543878832026513E-2</v>
      </c>
      <c r="Q31" s="1">
        <f t="shared" si="4"/>
        <v>12966.330000000002</v>
      </c>
      <c r="R31">
        <f t="shared" si="5"/>
        <v>3.4682533920299334E-3</v>
      </c>
      <c r="S31" s="2">
        <v>0.2</v>
      </c>
    </row>
    <row r="32" spans="1:23" x14ac:dyDescent="0.2">
      <c r="A32" s="27" t="s">
        <v>64</v>
      </c>
      <c r="B32" s="28" t="s">
        <v>204</v>
      </c>
      <c r="C32" s="27">
        <v>27985.360000000001</v>
      </c>
      <c r="D32" s="2"/>
      <c r="E32">
        <f t="shared" si="1"/>
        <v>73.469430921251003</v>
      </c>
      <c r="F32">
        <f t="shared" si="2"/>
        <v>73.5</v>
      </c>
      <c r="G32">
        <f t="shared" si="7"/>
        <v>-3.4685999999055639E-2</v>
      </c>
      <c r="I32">
        <f>+G32</f>
        <v>-3.4685999999055639E-2</v>
      </c>
      <c r="O32">
        <f t="shared" ca="1" si="3"/>
        <v>5.3168469914686406E-2</v>
      </c>
      <c r="P32">
        <f t="shared" si="6"/>
        <v>6.1485536375286552E-2</v>
      </c>
      <c r="Q32" s="1">
        <f t="shared" si="4"/>
        <v>12966.86</v>
      </c>
      <c r="R32">
        <f t="shared" si="5"/>
        <v>9.2489644086014237E-3</v>
      </c>
      <c r="S32" s="2">
        <v>0.2</v>
      </c>
    </row>
    <row r="33" spans="1:19" x14ac:dyDescent="0.2">
      <c r="A33" s="27" t="s">
        <v>64</v>
      </c>
      <c r="B33" s="28" t="s">
        <v>204</v>
      </c>
      <c r="C33" s="27">
        <v>27985.431</v>
      </c>
      <c r="D33" s="2"/>
      <c r="E33">
        <f t="shared" si="1"/>
        <v>73.532003849558208</v>
      </c>
      <c r="F33">
        <f t="shared" si="2"/>
        <v>73.5</v>
      </c>
      <c r="G33">
        <f t="shared" si="7"/>
        <v>3.631400000085705E-2</v>
      </c>
      <c r="I33">
        <f>+G33</f>
        <v>3.631400000085705E-2</v>
      </c>
      <c r="O33">
        <f t="shared" ca="1" si="3"/>
        <v>5.3168469914686406E-2</v>
      </c>
      <c r="P33">
        <f t="shared" si="6"/>
        <v>6.1485536375286552E-2</v>
      </c>
      <c r="Q33" s="1">
        <f t="shared" si="4"/>
        <v>12966.931</v>
      </c>
      <c r="R33">
        <f t="shared" si="5"/>
        <v>6.3360624344922757E-4</v>
      </c>
      <c r="S33" s="2">
        <v>0.2</v>
      </c>
    </row>
    <row r="34" spans="1:19" x14ac:dyDescent="0.2">
      <c r="A34" s="27" t="s">
        <v>64</v>
      </c>
      <c r="B34" s="28" t="s">
        <v>204</v>
      </c>
      <c r="C34" s="27">
        <v>27985.473999999998</v>
      </c>
      <c r="D34" s="2"/>
      <c r="E34">
        <f t="shared" si="1"/>
        <v>73.569900130080441</v>
      </c>
      <c r="F34">
        <f t="shared" si="2"/>
        <v>73.5</v>
      </c>
      <c r="G34">
        <f t="shared" si="7"/>
        <v>7.9313999998703366E-2</v>
      </c>
      <c r="I34">
        <f>+G34</f>
        <v>7.9313999998703366E-2</v>
      </c>
      <c r="O34">
        <f t="shared" ca="1" si="3"/>
        <v>5.3168469914686406E-2</v>
      </c>
      <c r="P34">
        <f t="shared" si="6"/>
        <v>6.1485536375286552E-2</v>
      </c>
      <c r="Q34" s="1">
        <f t="shared" si="4"/>
        <v>12966.973999999998</v>
      </c>
      <c r="R34">
        <f t="shared" si="5"/>
        <v>3.1785411517149659E-4</v>
      </c>
      <c r="S34" s="2">
        <v>0.2</v>
      </c>
    </row>
    <row r="35" spans="1:19" x14ac:dyDescent="0.2">
      <c r="A35" s="27" t="s">
        <v>64</v>
      </c>
      <c r="B35" s="28" t="s">
        <v>204</v>
      </c>
      <c r="C35" s="27">
        <v>28004.721000000001</v>
      </c>
      <c r="D35" s="2"/>
      <c r="E35">
        <f t="shared" si="1"/>
        <v>90.532451554454468</v>
      </c>
      <c r="F35">
        <f t="shared" si="2"/>
        <v>90.5</v>
      </c>
      <c r="G35">
        <f t="shared" si="7"/>
        <v>3.682200000184821E-2</v>
      </c>
      <c r="I35">
        <f>+G35</f>
        <v>3.682200000184821E-2</v>
      </c>
      <c r="O35">
        <f t="shared" ca="1" si="3"/>
        <v>5.1922479838676136E-2</v>
      </c>
      <c r="P35">
        <f t="shared" si="6"/>
        <v>5.9502467443837671E-2</v>
      </c>
      <c r="Q35" s="1">
        <f t="shared" si="4"/>
        <v>12986.221000000001</v>
      </c>
      <c r="R35">
        <f t="shared" si="5"/>
        <v>5.1440360338714404E-4</v>
      </c>
      <c r="S35" s="2">
        <v>0.2</v>
      </c>
    </row>
    <row r="36" spans="1:19" x14ac:dyDescent="0.2">
      <c r="A36" s="27" t="s">
        <v>64</v>
      </c>
      <c r="B36" s="28" t="s">
        <v>204</v>
      </c>
      <c r="C36" s="27">
        <v>28013.741000000002</v>
      </c>
      <c r="D36" s="2"/>
      <c r="E36">
        <f t="shared" si="1"/>
        <v>98.481857376028586</v>
      </c>
      <c r="F36">
        <f t="shared" si="2"/>
        <v>98.5</v>
      </c>
      <c r="G36">
        <f t="shared" si="7"/>
        <v>-2.0585999998729676E-2</v>
      </c>
      <c r="I36">
        <f>+G36</f>
        <v>-2.0585999998729676E-2</v>
      </c>
      <c r="O36">
        <f t="shared" ca="1" si="3"/>
        <v>5.1336131567612478E-2</v>
      </c>
      <c r="P36">
        <f t="shared" si="6"/>
        <v>5.8569644819095337E-2</v>
      </c>
      <c r="Q36" s="1">
        <f t="shared" si="4"/>
        <v>12995.241000000002</v>
      </c>
      <c r="R36">
        <f t="shared" si="5"/>
        <v>6.2656161065256675E-3</v>
      </c>
      <c r="S36" s="2">
        <v>0.2</v>
      </c>
    </row>
    <row r="37" spans="1:19" x14ac:dyDescent="0.2">
      <c r="A37" s="27" t="s">
        <v>64</v>
      </c>
      <c r="B37" s="28" t="s">
        <v>204</v>
      </c>
      <c r="C37" s="27">
        <v>28013.838</v>
      </c>
      <c r="D37" s="2"/>
      <c r="E37">
        <f t="shared" si="1"/>
        <v>98.567344334418422</v>
      </c>
      <c r="F37">
        <f t="shared" si="2"/>
        <v>98.5</v>
      </c>
      <c r="G37">
        <f t="shared" si="7"/>
        <v>7.6413999999203952E-2</v>
      </c>
      <c r="I37">
        <f>+G37</f>
        <v>7.6413999999203952E-2</v>
      </c>
      <c r="O37">
        <f t="shared" ca="1" si="3"/>
        <v>5.1336131567612478E-2</v>
      </c>
      <c r="P37">
        <f t="shared" si="6"/>
        <v>5.8569644819095337E-2</v>
      </c>
      <c r="Q37" s="1">
        <f t="shared" si="4"/>
        <v>12995.338</v>
      </c>
      <c r="R37">
        <f t="shared" si="5"/>
        <v>3.1842101179386915E-4</v>
      </c>
      <c r="S37" s="2">
        <v>0.2</v>
      </c>
    </row>
    <row r="38" spans="1:19" x14ac:dyDescent="0.2">
      <c r="A38" s="27" t="s">
        <v>64</v>
      </c>
      <c r="B38" s="28" t="s">
        <v>204</v>
      </c>
      <c r="C38" s="27">
        <v>28038.742999999999</v>
      </c>
      <c r="D38" s="2"/>
      <c r="E38">
        <f t="shared" si="1"/>
        <v>120.51634122868501</v>
      </c>
      <c r="F38">
        <f t="shared" si="2"/>
        <v>120.5</v>
      </c>
      <c r="G38">
        <f t="shared" si="7"/>
        <v>1.8541999997978564E-2</v>
      </c>
      <c r="I38">
        <f>+G38</f>
        <v>1.8541999997978564E-2</v>
      </c>
      <c r="O38">
        <f t="shared" ca="1" si="3"/>
        <v>4.9723673822187425E-2</v>
      </c>
      <c r="P38">
        <f t="shared" si="6"/>
        <v>5.6005657338830658E-2</v>
      </c>
      <c r="Q38" s="1">
        <f t="shared" si="4"/>
        <v>13020.242999999999</v>
      </c>
      <c r="R38">
        <f t="shared" si="5"/>
        <v>1.4035256213527809E-3</v>
      </c>
      <c r="S38" s="2">
        <v>0.2</v>
      </c>
    </row>
    <row r="39" spans="1:19" x14ac:dyDescent="0.2">
      <c r="A39" s="27" t="s">
        <v>64</v>
      </c>
      <c r="B39" s="28" t="s">
        <v>34</v>
      </c>
      <c r="C39" s="27">
        <v>28042.682000000001</v>
      </c>
      <c r="D39" s="2"/>
      <c r="E39">
        <f t="shared" si="1"/>
        <v>123.98781678646725</v>
      </c>
      <c r="F39">
        <f t="shared" si="2"/>
        <v>124</v>
      </c>
      <c r="G39">
        <f t="shared" si="7"/>
        <v>-1.3823999997839564E-2</v>
      </c>
      <c r="I39">
        <f>+G39</f>
        <v>-1.3823999997839564E-2</v>
      </c>
      <c r="O39">
        <f t="shared" ca="1" si="3"/>
        <v>4.9467146453597073E-2</v>
      </c>
      <c r="P39">
        <f t="shared" si="6"/>
        <v>5.5597922619010635E-2</v>
      </c>
      <c r="Q39" s="1">
        <f t="shared" si="4"/>
        <v>13024.182000000001</v>
      </c>
      <c r="R39">
        <f t="shared" si="5"/>
        <v>4.8194033398199386E-3</v>
      </c>
      <c r="S39" s="2">
        <v>0.2</v>
      </c>
    </row>
    <row r="40" spans="1:19" x14ac:dyDescent="0.2">
      <c r="A40" s="27" t="s">
        <v>64</v>
      </c>
      <c r="B40" s="28" t="s">
        <v>34</v>
      </c>
      <c r="C40" s="27">
        <v>28067.681</v>
      </c>
      <c r="D40" s="2"/>
      <c r="E40">
        <f t="shared" si="1"/>
        <v>146.01965671257813</v>
      </c>
      <c r="F40">
        <f t="shared" si="2"/>
        <v>146</v>
      </c>
      <c r="G40">
        <f t="shared" si="7"/>
        <v>2.2304000001895474E-2</v>
      </c>
      <c r="I40">
        <f>+G40</f>
        <v>2.2304000001895474E-2</v>
      </c>
      <c r="O40">
        <f t="shared" ca="1" si="3"/>
        <v>4.785468870817202E-2</v>
      </c>
      <c r="P40">
        <f t="shared" si="6"/>
        <v>5.3036102192966457E-2</v>
      </c>
      <c r="Q40" s="1">
        <f t="shared" si="4"/>
        <v>13049.181</v>
      </c>
      <c r="R40">
        <f t="shared" si="5"/>
        <v>9.4446210508242992E-4</v>
      </c>
      <c r="S40" s="2">
        <v>0.2</v>
      </c>
    </row>
    <row r="41" spans="1:19" x14ac:dyDescent="0.2">
      <c r="A41" s="27" t="s">
        <v>64</v>
      </c>
      <c r="B41" s="28" t="s">
        <v>204</v>
      </c>
      <c r="C41" s="27">
        <v>28719.508999999998</v>
      </c>
      <c r="E41">
        <f t="shared" si="1"/>
        <v>720.48144139824853</v>
      </c>
      <c r="F41">
        <f t="shared" si="2"/>
        <v>720.5</v>
      </c>
      <c r="G41">
        <f t="shared" si="7"/>
        <v>-2.1058000002085464E-2</v>
      </c>
      <c r="I41">
        <f>+G41</f>
        <v>-2.1058000002085464E-2</v>
      </c>
      <c r="O41">
        <f t="shared" ca="1" si="3"/>
        <v>5.7475534924131752E-3</v>
      </c>
      <c r="P41">
        <f t="shared" si="6"/>
        <v>-1.3200467670982593E-2</v>
      </c>
      <c r="Q41" s="1">
        <f t="shared" si="4"/>
        <v>13701.008999999998</v>
      </c>
      <c r="R41">
        <f t="shared" si="5"/>
        <v>6.1740814334326915E-5</v>
      </c>
      <c r="S41" s="2">
        <v>0.2</v>
      </c>
    </row>
    <row r="42" spans="1:19" x14ac:dyDescent="0.2">
      <c r="A42" s="27" t="s">
        <v>64</v>
      </c>
      <c r="B42" s="28" t="s">
        <v>204</v>
      </c>
      <c r="C42" s="27">
        <v>28719.53</v>
      </c>
      <c r="E42">
        <f t="shared" si="1"/>
        <v>720.49994888408639</v>
      </c>
      <c r="F42">
        <f t="shared" si="2"/>
        <v>720.5</v>
      </c>
      <c r="G42">
        <f t="shared" si="7"/>
        <v>-5.8000001445179805E-5</v>
      </c>
      <c r="I42">
        <f>+G42</f>
        <v>-5.8000001445179805E-5</v>
      </c>
      <c r="O42">
        <f t="shared" ca="1" si="3"/>
        <v>5.7475534924131752E-3</v>
      </c>
      <c r="P42">
        <f t="shared" si="6"/>
        <v>-1.3200467670982593E-2</v>
      </c>
      <c r="Q42" s="1">
        <f t="shared" si="4"/>
        <v>13701.029999999999</v>
      </c>
      <c r="R42">
        <f t="shared" si="5"/>
        <v>1.7272445644483616E-4</v>
      </c>
      <c r="S42" s="2">
        <v>0.2</v>
      </c>
    </row>
    <row r="43" spans="1:19" x14ac:dyDescent="0.2">
      <c r="A43" s="27" t="s">
        <v>64</v>
      </c>
      <c r="B43" s="28" t="s">
        <v>204</v>
      </c>
      <c r="C43" s="27">
        <v>28727.465</v>
      </c>
      <c r="E43">
        <f t="shared" si="1"/>
        <v>727.49313460406404</v>
      </c>
      <c r="F43">
        <f t="shared" si="2"/>
        <v>727.5</v>
      </c>
      <c r="G43">
        <f t="shared" si="7"/>
        <v>-7.7899999996589031E-3</v>
      </c>
      <c r="I43">
        <f>+G43</f>
        <v>-7.7899999996589031E-3</v>
      </c>
      <c r="O43">
        <f t="shared" ca="1" si="3"/>
        <v>5.2344987552324779E-3</v>
      </c>
      <c r="P43">
        <f t="shared" si="6"/>
        <v>-1.3999665855470637E-2</v>
      </c>
      <c r="Q43" s="1">
        <f t="shared" si="4"/>
        <v>13708.965</v>
      </c>
      <c r="R43">
        <f t="shared" si="5"/>
        <v>3.8559950040834069E-5</v>
      </c>
      <c r="S43" s="2">
        <v>0.2</v>
      </c>
    </row>
    <row r="44" spans="1:19" x14ac:dyDescent="0.2">
      <c r="A44" s="27" t="s">
        <v>64</v>
      </c>
      <c r="B44" s="28" t="s">
        <v>204</v>
      </c>
      <c r="C44" s="27">
        <v>28727.487000000001</v>
      </c>
      <c r="E44">
        <f t="shared" si="1"/>
        <v>727.51252339875157</v>
      </c>
      <c r="F44">
        <f t="shared" si="2"/>
        <v>727.5</v>
      </c>
      <c r="G44">
        <f t="shared" si="7"/>
        <v>1.4210000001185108E-2</v>
      </c>
      <c r="I44">
        <f>+G44</f>
        <v>1.4210000001185108E-2</v>
      </c>
      <c r="O44">
        <f t="shared" ca="1" si="3"/>
        <v>5.2344987552324779E-3</v>
      </c>
      <c r="P44">
        <f t="shared" si="6"/>
        <v>-1.3999665855470637E-2</v>
      </c>
      <c r="Q44" s="1">
        <f t="shared" si="4"/>
        <v>13708.987000000001</v>
      </c>
      <c r="R44">
        <f t="shared" si="5"/>
        <v>7.9578524774416885E-4</v>
      </c>
      <c r="S44" s="2">
        <v>0.2</v>
      </c>
    </row>
    <row r="45" spans="1:19" x14ac:dyDescent="0.2">
      <c r="A45" s="27" t="s">
        <v>64</v>
      </c>
      <c r="B45" s="28" t="s">
        <v>204</v>
      </c>
      <c r="C45" s="27">
        <v>28760.411</v>
      </c>
      <c r="E45">
        <f t="shared" si="1"/>
        <v>756.52873595634424</v>
      </c>
      <c r="F45">
        <f t="shared" si="2"/>
        <v>756.5</v>
      </c>
      <c r="G45">
        <f t="shared" si="7"/>
        <v>3.2606000000669155E-2</v>
      </c>
      <c r="I45">
        <f>+G45</f>
        <v>3.2606000000669155E-2</v>
      </c>
      <c r="O45">
        <f t="shared" ca="1" si="3"/>
        <v>3.1089862726267209E-3</v>
      </c>
      <c r="P45">
        <f t="shared" si="6"/>
        <v>-1.7308613359243007E-2</v>
      </c>
      <c r="Q45" s="1">
        <f t="shared" si="4"/>
        <v>13741.911</v>
      </c>
      <c r="R45">
        <f t="shared" si="5"/>
        <v>2.4914686268695222E-3</v>
      </c>
      <c r="S45" s="2">
        <v>0.2</v>
      </c>
    </row>
    <row r="46" spans="1:19" x14ac:dyDescent="0.2">
      <c r="A46" s="27" t="s">
        <v>64</v>
      </c>
      <c r="B46" s="28" t="s">
        <v>204</v>
      </c>
      <c r="C46" s="27">
        <v>28760.433000000001</v>
      </c>
      <c r="E46">
        <f t="shared" si="1"/>
        <v>756.54812475103176</v>
      </c>
      <c r="F46">
        <f t="shared" si="2"/>
        <v>756.5</v>
      </c>
      <c r="G46">
        <f t="shared" si="7"/>
        <v>5.4606000001513166E-2</v>
      </c>
      <c r="I46">
        <f>+G46</f>
        <v>5.4606000001513166E-2</v>
      </c>
      <c r="O46">
        <f t="shared" ca="1" si="3"/>
        <v>3.1089862726267209E-3</v>
      </c>
      <c r="P46">
        <f t="shared" si="6"/>
        <v>-1.7308613359243007E-2</v>
      </c>
      <c r="Q46" s="1">
        <f t="shared" si="4"/>
        <v>13741.933000000001</v>
      </c>
      <c r="R46">
        <f t="shared" si="5"/>
        <v>5.1717116148270511E-3</v>
      </c>
      <c r="S46" s="2">
        <v>0.2</v>
      </c>
    </row>
    <row r="47" spans="1:19" x14ac:dyDescent="0.2">
      <c r="A47" s="27" t="s">
        <v>64</v>
      </c>
      <c r="B47" s="28" t="s">
        <v>204</v>
      </c>
      <c r="C47" s="27">
        <v>29021.422999999999</v>
      </c>
      <c r="E47">
        <f t="shared" si="1"/>
        <v>986.56092135552319</v>
      </c>
      <c r="F47">
        <f t="shared" si="2"/>
        <v>986.5</v>
      </c>
      <c r="G47">
        <f t="shared" si="7"/>
        <v>6.9125999998504994E-2</v>
      </c>
      <c r="I47">
        <f>+G47</f>
        <v>6.9125999998504994E-2</v>
      </c>
      <c r="O47">
        <f t="shared" ca="1" si="3"/>
        <v>-1.3748526520453414E-2</v>
      </c>
      <c r="P47">
        <f t="shared" si="6"/>
        <v>-4.3436935371842719E-2</v>
      </c>
      <c r="Q47" s="1">
        <f t="shared" si="4"/>
        <v>14002.922999999999</v>
      </c>
      <c r="R47">
        <f t="shared" si="5"/>
        <v>1.2670414419189077E-2</v>
      </c>
      <c r="S47" s="2">
        <v>0.2</v>
      </c>
    </row>
    <row r="48" spans="1:19" x14ac:dyDescent="0.2">
      <c r="A48" s="27" t="s">
        <v>64</v>
      </c>
      <c r="B48" s="28" t="s">
        <v>34</v>
      </c>
      <c r="C48" s="27">
        <v>29043.486000000001</v>
      </c>
      <c r="E48">
        <f t="shared" si="1"/>
        <v>1006.0052384998022</v>
      </c>
      <c r="F48">
        <f t="shared" si="2"/>
        <v>1006</v>
      </c>
      <c r="G48">
        <f t="shared" si="7"/>
        <v>5.9440000004542526E-3</v>
      </c>
      <c r="I48">
        <f>+G48</f>
        <v>5.9440000004542526E-3</v>
      </c>
      <c r="O48">
        <f t="shared" ca="1" si="3"/>
        <v>-1.5177750431171075E-2</v>
      </c>
      <c r="P48">
        <f t="shared" si="6"/>
        <v>-4.564276582750431E-2</v>
      </c>
      <c r="Q48" s="1">
        <f t="shared" si="4"/>
        <v>14024.986000000001</v>
      </c>
      <c r="R48">
        <f t="shared" si="5"/>
        <v>2.6611944085886334E-3</v>
      </c>
      <c r="S48" s="2">
        <v>0.2</v>
      </c>
    </row>
    <row r="49" spans="1:31" x14ac:dyDescent="0.2">
      <c r="A49" s="27" t="s">
        <v>64</v>
      </c>
      <c r="B49" s="28" t="s">
        <v>204</v>
      </c>
      <c r="C49" s="27">
        <v>29106.514999999999</v>
      </c>
      <c r="E49">
        <f t="shared" si="1"/>
        <v>1061.5532539685339</v>
      </c>
      <c r="F49">
        <f t="shared" si="2"/>
        <v>1061.5</v>
      </c>
      <c r="G49">
        <f t="shared" si="7"/>
        <v>6.0426000000006752E-2</v>
      </c>
      <c r="I49">
        <f>+G49</f>
        <v>6.0426000000006752E-2</v>
      </c>
      <c r="O49">
        <f t="shared" ca="1" si="3"/>
        <v>-1.9245541561675183E-2</v>
      </c>
      <c r="P49">
        <f t="shared" si="6"/>
        <v>-5.1912859123461302E-2</v>
      </c>
      <c r="Q49" s="1">
        <f t="shared" si="4"/>
        <v>14088.014999999999</v>
      </c>
      <c r="R49">
        <f t="shared" si="5"/>
        <v>1.2620019269162402E-2</v>
      </c>
      <c r="S49" s="2">
        <v>0.2</v>
      </c>
    </row>
    <row r="50" spans="1:31" x14ac:dyDescent="0.2">
      <c r="A50" s="27" t="s">
        <v>64</v>
      </c>
      <c r="B50" s="28" t="s">
        <v>34</v>
      </c>
      <c r="C50" s="27">
        <v>29397.54</v>
      </c>
      <c r="E50">
        <f t="shared" si="1"/>
        <v>1318.03616186471</v>
      </c>
      <c r="F50">
        <f t="shared" si="2"/>
        <v>1318</v>
      </c>
      <c r="G50">
        <f t="shared" si="7"/>
        <v>4.1032000000996049E-2</v>
      </c>
      <c r="I50">
        <f>+G50</f>
        <v>4.1032000000996049E-2</v>
      </c>
      <c r="O50">
        <f t="shared" ca="1" si="3"/>
        <v>-3.8045333002653683E-2</v>
      </c>
      <c r="P50">
        <f t="shared" si="6"/>
        <v>-8.073629011994593E-2</v>
      </c>
      <c r="Q50" s="1">
        <f t="shared" si="4"/>
        <v>14379.04</v>
      </c>
      <c r="R50">
        <f t="shared" si="5"/>
        <v>1.4827516478977896E-2</v>
      </c>
      <c r="S50" s="2">
        <v>0.2</v>
      </c>
    </row>
    <row r="51" spans="1:31" x14ac:dyDescent="0.2">
      <c r="A51" s="27" t="s">
        <v>64</v>
      </c>
      <c r="B51" s="28" t="s">
        <v>204</v>
      </c>
      <c r="C51" s="27">
        <v>29410.522000000001</v>
      </c>
      <c r="E51">
        <f t="shared" si="1"/>
        <v>1329.4773133476003</v>
      </c>
      <c r="F51">
        <f t="shared" si="2"/>
        <v>1329.5</v>
      </c>
      <c r="G51">
        <f t="shared" si="7"/>
        <v>-2.5741999997990206E-2</v>
      </c>
      <c r="I51">
        <f>+G51</f>
        <v>-2.5741999997990206E-2</v>
      </c>
      <c r="O51">
        <f t="shared" ca="1" si="3"/>
        <v>-3.8888208642307687E-2</v>
      </c>
      <c r="P51">
        <f t="shared" si="6"/>
        <v>-8.2022616063501017E-2</v>
      </c>
      <c r="Q51" s="1">
        <f t="shared" si="4"/>
        <v>14392.022000000001</v>
      </c>
      <c r="R51">
        <f t="shared" si="5"/>
        <v>3.1675077447134337E-3</v>
      </c>
      <c r="S51" s="2">
        <v>0.2</v>
      </c>
    </row>
    <row r="52" spans="1:31" x14ac:dyDescent="0.2">
      <c r="A52" s="27" t="s">
        <v>64</v>
      </c>
      <c r="B52" s="28" t="s">
        <v>34</v>
      </c>
      <c r="C52" s="27">
        <v>29439.463</v>
      </c>
      <c r="E52">
        <f t="shared" si="1"/>
        <v>1354.983272758039</v>
      </c>
      <c r="F52">
        <f t="shared" si="2"/>
        <v>1355</v>
      </c>
      <c r="G52">
        <f t="shared" si="7"/>
        <v>-1.8980000000738073E-2</v>
      </c>
      <c r="I52">
        <f>+G52</f>
        <v>-1.8980000000738073E-2</v>
      </c>
      <c r="O52">
        <f t="shared" ca="1" si="3"/>
        <v>-4.0757193756323098E-2</v>
      </c>
      <c r="P52">
        <f t="shared" si="6"/>
        <v>-8.4873081729702579E-2</v>
      </c>
      <c r="Q52" s="1">
        <f t="shared" si="4"/>
        <v>14420.963</v>
      </c>
      <c r="R52">
        <f t="shared" si="5"/>
        <v>4.3418982197399956E-3</v>
      </c>
      <c r="S52" s="2">
        <v>0.2</v>
      </c>
    </row>
    <row r="53" spans="1:31" x14ac:dyDescent="0.2">
      <c r="A53" s="27" t="s">
        <v>64</v>
      </c>
      <c r="B53" s="28" t="s">
        <v>34</v>
      </c>
      <c r="C53" s="27">
        <v>29464.437999999998</v>
      </c>
      <c r="E53">
        <f t="shared" si="1"/>
        <v>1376.9939612717631</v>
      </c>
      <c r="F53">
        <f t="shared" si="2"/>
        <v>1377</v>
      </c>
      <c r="G53">
        <f t="shared" si="7"/>
        <v>-6.8520000022544991E-3</v>
      </c>
      <c r="I53">
        <f>+G53</f>
        <v>-6.8520000022544991E-3</v>
      </c>
      <c r="O53">
        <f t="shared" ca="1" si="3"/>
        <v>-4.2369651501748151E-2</v>
      </c>
      <c r="P53">
        <f t="shared" si="6"/>
        <v>-8.7330288675533871E-2</v>
      </c>
      <c r="Q53" s="1">
        <f t="shared" si="4"/>
        <v>14445.937999999998</v>
      </c>
      <c r="R53">
        <f t="shared" si="5"/>
        <v>6.4767549477796867E-3</v>
      </c>
      <c r="S53" s="2">
        <v>0.2</v>
      </c>
    </row>
    <row r="54" spans="1:31" x14ac:dyDescent="0.2">
      <c r="A54" s="27" t="s">
        <v>64</v>
      </c>
      <c r="B54" s="28" t="s">
        <v>34</v>
      </c>
      <c r="C54" s="27">
        <v>29479.232</v>
      </c>
      <c r="E54">
        <f t="shared" si="1"/>
        <v>1390.0320443897649</v>
      </c>
      <c r="F54">
        <f t="shared" si="2"/>
        <v>1390</v>
      </c>
      <c r="G54">
        <f t="shared" si="7"/>
        <v>3.6360000001877779E-2</v>
      </c>
      <c r="I54">
        <f>+G54</f>
        <v>3.6360000001877779E-2</v>
      </c>
      <c r="O54">
        <f t="shared" ca="1" si="3"/>
        <v>-4.3322467442226592E-2</v>
      </c>
      <c r="P54">
        <f t="shared" si="6"/>
        <v>-8.8781395801572918E-2</v>
      </c>
      <c r="Q54" s="1">
        <f t="shared" si="4"/>
        <v>14460.732</v>
      </c>
      <c r="R54">
        <f t="shared" si="5"/>
        <v>1.5660368943635903E-2</v>
      </c>
      <c r="S54" s="2">
        <v>0.2</v>
      </c>
    </row>
    <row r="55" spans="1:31" x14ac:dyDescent="0.2">
      <c r="A55" s="27" t="s">
        <v>64</v>
      </c>
      <c r="B55" s="28" t="s">
        <v>34</v>
      </c>
      <c r="C55" s="27">
        <v>29480.309000000001</v>
      </c>
      <c r="E55">
        <f t="shared" si="1"/>
        <v>1390.9812140205679</v>
      </c>
      <c r="F55">
        <f t="shared" si="2"/>
        <v>1391</v>
      </c>
      <c r="G55">
        <f t="shared" si="7"/>
        <v>-2.1315999998478219E-2</v>
      </c>
      <c r="I55">
        <f>+G55</f>
        <v>-2.1315999998478219E-2</v>
      </c>
      <c r="O55">
        <f t="shared" ca="1" si="3"/>
        <v>-4.3395760976109546E-2</v>
      </c>
      <c r="P55">
        <f t="shared" si="6"/>
        <v>-8.8892992386760614E-2</v>
      </c>
      <c r="Q55" s="1">
        <f t="shared" si="4"/>
        <v>14461.809000000001</v>
      </c>
      <c r="R55">
        <f t="shared" si="5"/>
        <v>4.5666499002459766E-3</v>
      </c>
      <c r="S55" s="2">
        <v>0.2</v>
      </c>
    </row>
    <row r="56" spans="1:31" x14ac:dyDescent="0.2">
      <c r="A56" s="27" t="s">
        <v>64</v>
      </c>
      <c r="B56" s="28" t="s">
        <v>204</v>
      </c>
      <c r="C56" s="27">
        <v>29484.319</v>
      </c>
      <c r="E56">
        <f t="shared" si="1"/>
        <v>1394.5152625066542</v>
      </c>
      <c r="F56">
        <f t="shared" si="2"/>
        <v>1394.5</v>
      </c>
      <c r="G56">
        <f t="shared" si="7"/>
        <v>1.7318000001978362E-2</v>
      </c>
      <c r="I56">
        <f>+G56</f>
        <v>1.7318000001978362E-2</v>
      </c>
      <c r="O56">
        <f t="shared" ca="1" si="3"/>
        <v>-4.3652288344699891E-2</v>
      </c>
      <c r="P56">
        <f t="shared" si="6"/>
        <v>-8.9283550015038779E-2</v>
      </c>
      <c r="Q56" s="1">
        <f t="shared" si="4"/>
        <v>14465.819</v>
      </c>
      <c r="R56">
        <f t="shared" si="5"/>
        <v>1.1363890466030608E-2</v>
      </c>
      <c r="S56" s="2">
        <v>0.2</v>
      </c>
    </row>
    <row r="57" spans="1:31" x14ac:dyDescent="0.2">
      <c r="A57" s="27" t="s">
        <v>64</v>
      </c>
      <c r="B57" s="28" t="s">
        <v>34</v>
      </c>
      <c r="C57" s="27">
        <v>29488.305</v>
      </c>
      <c r="E57">
        <f t="shared" si="1"/>
        <v>1398.0281595803569</v>
      </c>
      <c r="F57">
        <f t="shared" si="2"/>
        <v>1398</v>
      </c>
      <c r="G57">
        <f t="shared" si="7"/>
        <v>3.1952000001183478E-2</v>
      </c>
      <c r="I57">
        <f>+G57</f>
        <v>3.1952000001183478E-2</v>
      </c>
      <c r="O57">
        <f t="shared" ca="1" si="3"/>
        <v>-4.390881571329025E-2</v>
      </c>
      <c r="P57">
        <f t="shared" si="6"/>
        <v>-8.9674060323505514E-2</v>
      </c>
      <c r="Q57" s="1">
        <f t="shared" si="4"/>
        <v>14469.805</v>
      </c>
      <c r="R57">
        <f t="shared" si="5"/>
        <v>1.4792898550104886E-2</v>
      </c>
      <c r="S57" s="2">
        <v>0.2</v>
      </c>
    </row>
    <row r="58" spans="1:31" x14ac:dyDescent="0.2">
      <c r="A58" s="27" t="s">
        <v>64</v>
      </c>
      <c r="B58" s="28" t="s">
        <v>204</v>
      </c>
      <c r="C58" s="27">
        <v>29492.328000000001</v>
      </c>
      <c r="E58">
        <f t="shared" si="1"/>
        <v>1401.5736650814877</v>
      </c>
      <c r="F58">
        <f t="shared" si="2"/>
        <v>1401.5</v>
      </c>
      <c r="G58">
        <f t="shared" si="7"/>
        <v>8.3586000000650529E-2</v>
      </c>
      <c r="I58">
        <f>+G58</f>
        <v>8.3586000000650529E-2</v>
      </c>
      <c r="O58">
        <f t="shared" ca="1" si="3"/>
        <v>-4.4165343081880595E-2</v>
      </c>
      <c r="P58">
        <f t="shared" si="6"/>
        <v>-9.0064523312160874E-2</v>
      </c>
      <c r="Q58" s="1">
        <f t="shared" si="4"/>
        <v>14473.828000000001</v>
      </c>
      <c r="R58">
        <f t="shared" si="5"/>
        <v>3.0154504246813253E-2</v>
      </c>
      <c r="S58" s="2">
        <v>0.2</v>
      </c>
    </row>
    <row r="59" spans="1:31" x14ac:dyDescent="0.2">
      <c r="A59" s="27" t="s">
        <v>64</v>
      </c>
      <c r="B59" s="28" t="s">
        <v>34</v>
      </c>
      <c r="C59" s="27">
        <v>29514.333999999999</v>
      </c>
      <c r="E59">
        <f t="shared" si="1"/>
        <v>1420.9677476213471</v>
      </c>
      <c r="F59">
        <f t="shared" si="2"/>
        <v>1421</v>
      </c>
      <c r="G59">
        <f t="shared" si="7"/>
        <v>-3.6596000001736684E-2</v>
      </c>
      <c r="I59">
        <f>+G59</f>
        <v>-3.6596000001736684E-2</v>
      </c>
      <c r="O59">
        <f t="shared" ca="1" si="3"/>
        <v>-4.5594566992598257E-2</v>
      </c>
      <c r="P59">
        <f t="shared" si="6"/>
        <v>-9.2239093720978688E-2</v>
      </c>
      <c r="Q59" s="1">
        <f t="shared" si="4"/>
        <v>14495.833999999999</v>
      </c>
      <c r="R59">
        <f t="shared" si="5"/>
        <v>3.0961538786483489E-3</v>
      </c>
      <c r="S59" s="2">
        <v>0.2</v>
      </c>
    </row>
    <row r="60" spans="1:31" x14ac:dyDescent="0.2">
      <c r="A60" s="27" t="s">
        <v>64</v>
      </c>
      <c r="B60" s="28" t="s">
        <v>204</v>
      </c>
      <c r="C60" s="27">
        <v>29551.244999999999</v>
      </c>
      <c r="E60">
        <f t="shared" si="1"/>
        <v>1453.4977385614923</v>
      </c>
      <c r="F60">
        <f t="shared" si="2"/>
        <v>1453.5</v>
      </c>
      <c r="G60">
        <f t="shared" si="7"/>
        <v>-2.5659999992058147E-3</v>
      </c>
      <c r="I60">
        <f>+G60</f>
        <v>-2.5659999992058147E-3</v>
      </c>
      <c r="O60">
        <f t="shared" ca="1" si="3"/>
        <v>-4.7976606843794359E-2</v>
      </c>
      <c r="P60">
        <f t="shared" si="6"/>
        <v>-9.5860113634398184E-2</v>
      </c>
      <c r="Q60" s="1">
        <f t="shared" si="4"/>
        <v>14532.744999999999</v>
      </c>
      <c r="R60">
        <f t="shared" si="5"/>
        <v>8.7037916389761869E-3</v>
      </c>
      <c r="S60" s="2">
        <v>0.2</v>
      </c>
    </row>
    <row r="61" spans="1:31" x14ac:dyDescent="0.2">
      <c r="A61" s="27" t="s">
        <v>64</v>
      </c>
      <c r="B61" s="28" t="s">
        <v>204</v>
      </c>
      <c r="C61" s="27">
        <v>29551.267</v>
      </c>
      <c r="E61">
        <f t="shared" si="1"/>
        <v>1453.5171273561798</v>
      </c>
      <c r="F61">
        <f t="shared" si="2"/>
        <v>1453.5</v>
      </c>
      <c r="G61">
        <f t="shared" si="7"/>
        <v>1.9434000001638196E-2</v>
      </c>
      <c r="I61">
        <f>+G61</f>
        <v>1.9434000001638196E-2</v>
      </c>
      <c r="O61">
        <f t="shared" ca="1" si="3"/>
        <v>-4.7976606843794359E-2</v>
      </c>
      <c r="P61">
        <f t="shared" si="6"/>
        <v>-9.5860113634398184E-2</v>
      </c>
      <c r="Q61" s="1">
        <f t="shared" si="4"/>
        <v>14532.767</v>
      </c>
      <c r="R61">
        <f t="shared" si="5"/>
        <v>1.3292732639119269E-2</v>
      </c>
      <c r="S61" s="2">
        <v>0.2</v>
      </c>
    </row>
    <row r="62" spans="1:31" x14ac:dyDescent="0.2">
      <c r="A62" t="s">
        <v>28</v>
      </c>
      <c r="C62" s="8">
        <v>46998.34</v>
      </c>
      <c r="D62" s="8"/>
      <c r="E62">
        <f t="shared" si="1"/>
        <v>16829.776958356393</v>
      </c>
      <c r="F62" s="5">
        <f>ROUND(2*E62,0)/2+1</f>
        <v>16831</v>
      </c>
      <c r="G62">
        <f t="shared" si="7"/>
        <v>-1.3877560000037192</v>
      </c>
      <c r="I62">
        <f>+G62</f>
        <v>-1.3877560000037192</v>
      </c>
      <c r="O62">
        <f t="shared" ca="1" si="3"/>
        <v>-1.1750479241289669</v>
      </c>
      <c r="P62">
        <f t="shared" si="6"/>
        <v>-1.3514760713067853</v>
      </c>
      <c r="Q62" s="1">
        <f t="shared" si="4"/>
        <v>31979.839999999997</v>
      </c>
      <c r="R62">
        <f t="shared" si="5"/>
        <v>1.3162332262546131E-3</v>
      </c>
      <c r="S62" s="2">
        <v>0.2</v>
      </c>
      <c r="AA62">
        <v>6</v>
      </c>
      <c r="AC62" t="s">
        <v>27</v>
      </c>
      <c r="AE62" t="s">
        <v>29</v>
      </c>
    </row>
    <row r="63" spans="1:31" x14ac:dyDescent="0.2">
      <c r="A63" t="s">
        <v>31</v>
      </c>
      <c r="C63" s="8">
        <v>50285.379000000001</v>
      </c>
      <c r="D63" s="8">
        <v>5.0000000000000001E-3</v>
      </c>
      <c r="E63">
        <f t="shared" si="1"/>
        <v>19726.673517374125</v>
      </c>
      <c r="F63" s="29">
        <f>ROUND(2*E63,0)/2+1.5</f>
        <v>19728</v>
      </c>
      <c r="G63">
        <f t="shared" si="7"/>
        <v>-1.5051279999970575</v>
      </c>
      <c r="J63">
        <f>+G63</f>
        <v>-1.5051279999970575</v>
      </c>
      <c r="O63">
        <f t="shared" ca="1" si="3"/>
        <v>-1.3873792917878935</v>
      </c>
      <c r="P63">
        <f t="shared" si="6"/>
        <v>-1.4857724477922949</v>
      </c>
      <c r="Q63" s="1">
        <f t="shared" si="4"/>
        <v>35266.879000000001</v>
      </c>
      <c r="R63">
        <f t="shared" si="5"/>
        <v>3.7463740115129012E-4</v>
      </c>
      <c r="S63" s="2">
        <v>0.2</v>
      </c>
      <c r="AA63">
        <v>18</v>
      </c>
      <c r="AC63" t="s">
        <v>30</v>
      </c>
      <c r="AE63" t="s">
        <v>29</v>
      </c>
    </row>
    <row r="64" spans="1:31" x14ac:dyDescent="0.2">
      <c r="A64" s="3" t="s">
        <v>33</v>
      </c>
      <c r="B64" s="4" t="s">
        <v>34</v>
      </c>
      <c r="C64" s="9">
        <v>53525.931400000001</v>
      </c>
      <c r="D64" s="9">
        <v>4.0000000000000002E-4</v>
      </c>
      <c r="E64">
        <f t="shared" si="1"/>
        <v>22582.601024433407</v>
      </c>
      <c r="F64" s="29">
        <f>ROUND(2*E64,0)/2+1.5</f>
        <v>22584</v>
      </c>
      <c r="G64">
        <f t="shared" si="7"/>
        <v>-1.5873839999985648</v>
      </c>
      <c r="K64">
        <f>+G64</f>
        <v>-1.5873839999985648</v>
      </c>
      <c r="O64">
        <f t="shared" ca="1" si="3"/>
        <v>-1.5967056245576188</v>
      </c>
      <c r="P64">
        <f t="shared" si="6"/>
        <v>-1.5864338431855816</v>
      </c>
      <c r="Q64" s="1">
        <f t="shared" si="4"/>
        <v>38507.431400000001</v>
      </c>
      <c r="R64">
        <f t="shared" si="5"/>
        <v>9.027979692585278E-7</v>
      </c>
      <c r="S64" s="2">
        <v>1</v>
      </c>
      <c r="T64">
        <f>+S64*R64</f>
        <v>9.027979692585278E-7</v>
      </c>
    </row>
    <row r="65" spans="1:20" x14ac:dyDescent="0.2">
      <c r="A65" s="12" t="s">
        <v>46</v>
      </c>
      <c r="B65" s="13" t="s">
        <v>34</v>
      </c>
      <c r="C65" s="12">
        <v>54997.574000000001</v>
      </c>
      <c r="D65" s="12">
        <v>8.0000000000000002E-3</v>
      </c>
      <c r="E65">
        <f t="shared" si="1"/>
        <v>23879.572670965106</v>
      </c>
      <c r="F65" s="29">
        <f>ROUND(2*E65,0)/2+1.5</f>
        <v>23881</v>
      </c>
      <c r="G65">
        <f t="shared" si="7"/>
        <v>-1.6195559999978286</v>
      </c>
      <c r="K65">
        <f>+G65</f>
        <v>-1.6195559999978286</v>
      </c>
      <c r="O65">
        <f t="shared" ca="1" si="3"/>
        <v>-1.6917673380038143</v>
      </c>
      <c r="P65">
        <f t="shared" si="6"/>
        <v>-1.621743884451375</v>
      </c>
      <c r="Q65" s="1">
        <f t="shared" si="4"/>
        <v>39979.074000000001</v>
      </c>
      <c r="R65">
        <f t="shared" si="5"/>
        <v>4.7868383820697686E-6</v>
      </c>
      <c r="S65" s="2">
        <v>1</v>
      </c>
      <c r="T65">
        <f>+S65*R65</f>
        <v>4.7868383820697686E-6</v>
      </c>
    </row>
    <row r="66" spans="1:20" x14ac:dyDescent="0.2">
      <c r="A66" s="10" t="s">
        <v>42</v>
      </c>
      <c r="B66" s="11" t="s">
        <v>34</v>
      </c>
      <c r="C66" s="10">
        <v>56078.894999999997</v>
      </c>
      <c r="D66" s="10">
        <v>3.0000000000000001E-3</v>
      </c>
      <c r="E66">
        <f t="shared" si="1"/>
        <v>24832.55043730545</v>
      </c>
      <c r="F66" s="29">
        <f>ROUND(2*E66,0)/2+1.5</f>
        <v>24834</v>
      </c>
      <c r="G66">
        <f t="shared" si="7"/>
        <v>-1.6447840000037104</v>
      </c>
      <c r="K66">
        <f>+G66</f>
        <v>-1.6447840000037104</v>
      </c>
      <c r="O66">
        <f t="shared" ca="1" si="3"/>
        <v>-1.7616160757942723</v>
      </c>
      <c r="P66">
        <f t="shared" si="6"/>
        <v>-1.6435472843761725</v>
      </c>
      <c r="Q66" s="1">
        <f t="shared" si="4"/>
        <v>41060.394999999997</v>
      </c>
      <c r="R66">
        <f t="shared" si="5"/>
        <v>1.5294655433964861E-6</v>
      </c>
      <c r="S66" s="2">
        <v>1</v>
      </c>
      <c r="T66">
        <f>+S66*R66</f>
        <v>1.5294655433964861E-6</v>
      </c>
    </row>
    <row r="67" spans="1:20" x14ac:dyDescent="0.2">
      <c r="A67" s="27"/>
      <c r="B67" s="28"/>
      <c r="C67" s="27"/>
    </row>
    <row r="68" spans="1:20" x14ac:dyDescent="0.2">
      <c r="A68" s="27"/>
      <c r="B68" s="28"/>
      <c r="C68" s="27"/>
    </row>
    <row r="69" spans="1:20" x14ac:dyDescent="0.2">
      <c r="A69" s="27"/>
      <c r="B69" s="28"/>
      <c r="C69" s="27"/>
    </row>
    <row r="70" spans="1:20" x14ac:dyDescent="0.2">
      <c r="A70" s="27"/>
      <c r="B70" s="28"/>
      <c r="C70" s="27"/>
    </row>
    <row r="71" spans="1:20" x14ac:dyDescent="0.2">
      <c r="A71" s="27"/>
      <c r="B71" s="28"/>
      <c r="C71" s="27"/>
    </row>
    <row r="72" spans="1:20" x14ac:dyDescent="0.2">
      <c r="A72" s="27"/>
      <c r="B72" s="28"/>
      <c r="C72" s="27"/>
    </row>
    <row r="73" spans="1:20" x14ac:dyDescent="0.2">
      <c r="A73" s="27"/>
      <c r="B73" s="28"/>
      <c r="C73" s="27"/>
    </row>
    <row r="74" spans="1:20" x14ac:dyDescent="0.2">
      <c r="B74" s="2"/>
    </row>
    <row r="75" spans="1:20" x14ac:dyDescent="0.2">
      <c r="B75" s="2"/>
    </row>
    <row r="76" spans="1:20" x14ac:dyDescent="0.2">
      <c r="B76" s="2"/>
    </row>
    <row r="77" spans="1:20" x14ac:dyDescent="0.2">
      <c r="B77" s="2"/>
    </row>
    <row r="78" spans="1:20" x14ac:dyDescent="0.2">
      <c r="B78" s="2"/>
    </row>
    <row r="79" spans="1:20" x14ac:dyDescent="0.2">
      <c r="B79" s="2"/>
    </row>
    <row r="80" spans="1:20" x14ac:dyDescent="0.2">
      <c r="B80" s="2"/>
    </row>
    <row r="81" spans="2:2" x14ac:dyDescent="0.2">
      <c r="B81" s="2"/>
    </row>
    <row r="82" spans="2:2" x14ac:dyDescent="0.2">
      <c r="B82" s="2"/>
    </row>
    <row r="83" spans="2:2" x14ac:dyDescent="0.2">
      <c r="B83" s="2"/>
    </row>
    <row r="84" spans="2:2" x14ac:dyDescent="0.2">
      <c r="B84" s="2"/>
    </row>
    <row r="85" spans="2:2" x14ac:dyDescent="0.2">
      <c r="B85" s="2"/>
    </row>
    <row r="86" spans="2:2" x14ac:dyDescent="0.2">
      <c r="B86" s="2"/>
    </row>
    <row r="87" spans="2:2" x14ac:dyDescent="0.2">
      <c r="B87" s="2"/>
    </row>
    <row r="88" spans="2:2" x14ac:dyDescent="0.2">
      <c r="B88" s="2"/>
    </row>
    <row r="89" spans="2:2" x14ac:dyDescent="0.2">
      <c r="B89" s="2"/>
    </row>
    <row r="90" spans="2:2" x14ac:dyDescent="0.2">
      <c r="B90" s="2"/>
    </row>
    <row r="91" spans="2:2" x14ac:dyDescent="0.2">
      <c r="B91" s="2"/>
    </row>
    <row r="92" spans="2:2" x14ac:dyDescent="0.2">
      <c r="B92" s="2"/>
    </row>
    <row r="93" spans="2:2" x14ac:dyDescent="0.2">
      <c r="B93" s="2"/>
    </row>
    <row r="94" spans="2:2" x14ac:dyDescent="0.2">
      <c r="B94" s="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8"/>
  <sheetViews>
    <sheetView topLeftCell="A17" workbookViewId="0">
      <selection activeCell="A16" sqref="A16:C62"/>
    </sheetView>
  </sheetViews>
  <sheetFormatPr defaultRowHeight="12.75" x14ac:dyDescent="0.2"/>
  <cols>
    <col min="1" max="1" width="19.7109375" style="6" customWidth="1"/>
    <col min="2" max="2" width="4.42578125" style="7" customWidth="1"/>
    <col min="3" max="3" width="12.7109375" style="6" customWidth="1"/>
    <col min="4" max="4" width="5.42578125" style="7" customWidth="1"/>
    <col min="5" max="5" width="14.85546875" style="7" customWidth="1"/>
    <col min="6" max="6" width="9.140625" style="7"/>
    <col min="7" max="7" width="12" style="7" customWidth="1"/>
    <col min="8" max="8" width="14.140625" style="6" customWidth="1"/>
    <col min="9" max="9" width="22.5703125" style="7" customWidth="1"/>
    <col min="10" max="10" width="25.140625" style="7" customWidth="1"/>
    <col min="11" max="11" width="15.7109375" style="7" customWidth="1"/>
    <col min="12" max="12" width="14.140625" style="7" customWidth="1"/>
    <col min="13" max="13" width="9.5703125" style="7" customWidth="1"/>
    <col min="14" max="14" width="14.140625" style="7" customWidth="1"/>
    <col min="15" max="15" width="23.42578125" style="7" customWidth="1"/>
    <col min="16" max="16" width="16.5703125" style="7" customWidth="1"/>
    <col min="17" max="17" width="41" style="7" customWidth="1"/>
    <col min="18" max="16384" width="9.140625" style="7"/>
  </cols>
  <sheetData>
    <row r="1" spans="1:16" ht="15.75" x14ac:dyDescent="0.25">
      <c r="A1" s="14" t="s">
        <v>47</v>
      </c>
      <c r="I1" s="15" t="s">
        <v>48</v>
      </c>
      <c r="J1" s="16" t="s">
        <v>49</v>
      </c>
    </row>
    <row r="2" spans="1:16" x14ac:dyDescent="0.2">
      <c r="I2" s="17" t="s">
        <v>50</v>
      </c>
      <c r="J2" s="18" t="s">
        <v>51</v>
      </c>
    </row>
    <row r="3" spans="1:16" x14ac:dyDescent="0.2">
      <c r="A3" s="19" t="s">
        <v>52</v>
      </c>
      <c r="I3" s="17" t="s">
        <v>53</v>
      </c>
      <c r="J3" s="18" t="s">
        <v>54</v>
      </c>
    </row>
    <row r="4" spans="1:16" x14ac:dyDescent="0.2">
      <c r="I4" s="17" t="s">
        <v>55</v>
      </c>
      <c r="J4" s="18" t="s">
        <v>54</v>
      </c>
    </row>
    <row r="5" spans="1:16" ht="13.5" thickBot="1" x14ac:dyDescent="0.25">
      <c r="I5" s="20" t="s">
        <v>56</v>
      </c>
      <c r="J5" s="21" t="s">
        <v>57</v>
      </c>
    </row>
    <row r="10" spans="1:16" ht="13.5" thickBot="1" x14ac:dyDescent="0.25"/>
    <row r="11" spans="1:16" ht="12.75" customHeight="1" thickBot="1" x14ac:dyDescent="0.25">
      <c r="A11" s="6" t="str">
        <f t="shared" ref="A11:A55" si="0">P11</f>
        <v> BBS 84 </v>
      </c>
      <c r="B11" s="2" t="str">
        <f t="shared" ref="B11:B55" si="1">IF(H11=INT(H11),"I","II")</f>
        <v>II</v>
      </c>
      <c r="C11" s="6">
        <f t="shared" ref="C11:C55" si="2">1*G11</f>
        <v>46998.34</v>
      </c>
      <c r="D11" s="7" t="str">
        <f t="shared" ref="D11:D55" si="3">VLOOKUP(F11,I$1:J$5,2,FALSE)</f>
        <v>vis</v>
      </c>
      <c r="E11" s="22" t="e">
        <f>VLOOKUP(C11,#REF!,3,FALSE)</f>
        <v>#REF!</v>
      </c>
      <c r="F11" s="2" t="s">
        <v>56</v>
      </c>
      <c r="G11" s="7" t="str">
        <f t="shared" ref="G11:G55" si="4">MID(I11,3,LEN(I11)-3)</f>
        <v>46998.340</v>
      </c>
      <c r="H11" s="6">
        <f t="shared" ref="H11:H55" si="5">1*K11</f>
        <v>16829.5</v>
      </c>
      <c r="I11" s="23" t="s">
        <v>175</v>
      </c>
      <c r="J11" s="24" t="s">
        <v>176</v>
      </c>
      <c r="K11" s="23">
        <v>16829.5</v>
      </c>
      <c r="L11" s="23" t="s">
        <v>177</v>
      </c>
      <c r="M11" s="24" t="s">
        <v>178</v>
      </c>
      <c r="N11" s="24"/>
      <c r="O11" s="25" t="s">
        <v>179</v>
      </c>
      <c r="P11" s="25" t="s">
        <v>180</v>
      </c>
    </row>
    <row r="12" spans="1:16" ht="12.75" customHeight="1" thickBot="1" x14ac:dyDescent="0.25">
      <c r="A12" s="6" t="str">
        <f t="shared" si="0"/>
        <v> BBS 112 </v>
      </c>
      <c r="B12" s="2" t="str">
        <f t="shared" si="1"/>
        <v>II</v>
      </c>
      <c r="C12" s="6">
        <f t="shared" si="2"/>
        <v>50285.379000000001</v>
      </c>
      <c r="D12" s="7" t="str">
        <f t="shared" si="3"/>
        <v>vis</v>
      </c>
      <c r="E12" s="22" t="e">
        <f>VLOOKUP(C12,#REF!,3,FALSE)</f>
        <v>#REF!</v>
      </c>
      <c r="F12" s="2" t="s">
        <v>56</v>
      </c>
      <c r="G12" s="7" t="str">
        <f t="shared" si="4"/>
        <v>50285.379</v>
      </c>
      <c r="H12" s="6">
        <f t="shared" si="5"/>
        <v>19726.5</v>
      </c>
      <c r="I12" s="23" t="s">
        <v>181</v>
      </c>
      <c r="J12" s="24" t="s">
        <v>182</v>
      </c>
      <c r="K12" s="23">
        <v>19726.5</v>
      </c>
      <c r="L12" s="23" t="s">
        <v>183</v>
      </c>
      <c r="M12" s="24" t="s">
        <v>184</v>
      </c>
      <c r="N12" s="24" t="s">
        <v>185</v>
      </c>
      <c r="O12" s="25" t="s">
        <v>186</v>
      </c>
      <c r="P12" s="25" t="s">
        <v>187</v>
      </c>
    </row>
    <row r="13" spans="1:16" ht="12.75" customHeight="1" thickBot="1" x14ac:dyDescent="0.25">
      <c r="A13" s="6" t="str">
        <f t="shared" si="0"/>
        <v>IBVS 5690 </v>
      </c>
      <c r="B13" s="2" t="str">
        <f t="shared" si="1"/>
        <v>II</v>
      </c>
      <c r="C13" s="6">
        <f t="shared" si="2"/>
        <v>53525.931400000001</v>
      </c>
      <c r="D13" s="7" t="str">
        <f t="shared" si="3"/>
        <v>vis</v>
      </c>
      <c r="E13" s="22" t="e">
        <f>VLOOKUP(C13,#REF!,3,FALSE)</f>
        <v>#REF!</v>
      </c>
      <c r="F13" s="2" t="s">
        <v>56</v>
      </c>
      <c r="G13" s="7" t="str">
        <f t="shared" si="4"/>
        <v>53525.9314</v>
      </c>
      <c r="H13" s="6">
        <f t="shared" si="5"/>
        <v>22582.5</v>
      </c>
      <c r="I13" s="23" t="s">
        <v>188</v>
      </c>
      <c r="J13" s="24" t="s">
        <v>189</v>
      </c>
      <c r="K13" s="23">
        <v>22582.5</v>
      </c>
      <c r="L13" s="23" t="s">
        <v>190</v>
      </c>
      <c r="M13" s="24" t="s">
        <v>184</v>
      </c>
      <c r="N13" s="24" t="s">
        <v>185</v>
      </c>
      <c r="O13" s="25" t="s">
        <v>191</v>
      </c>
      <c r="P13" s="26" t="s">
        <v>192</v>
      </c>
    </row>
    <row r="14" spans="1:16" ht="12.75" customHeight="1" thickBot="1" x14ac:dyDescent="0.25">
      <c r="A14" s="6" t="str">
        <f t="shared" si="0"/>
        <v>OEJV 0116 </v>
      </c>
      <c r="B14" s="2" t="str">
        <f t="shared" si="1"/>
        <v>II</v>
      </c>
      <c r="C14" s="6">
        <f t="shared" si="2"/>
        <v>54997.574000000001</v>
      </c>
      <c r="D14" s="7" t="str">
        <f t="shared" si="3"/>
        <v>vis</v>
      </c>
      <c r="E14" s="22" t="e">
        <f>VLOOKUP(C14,#REF!,3,FALSE)</f>
        <v>#REF!</v>
      </c>
      <c r="F14" s="2" t="s">
        <v>56</v>
      </c>
      <c r="G14" s="7" t="str">
        <f t="shared" si="4"/>
        <v>54997.574</v>
      </c>
      <c r="H14" s="6">
        <f t="shared" si="5"/>
        <v>23879.5</v>
      </c>
      <c r="I14" s="23" t="s">
        <v>193</v>
      </c>
      <c r="J14" s="24" t="s">
        <v>194</v>
      </c>
      <c r="K14" s="23">
        <v>23879.5</v>
      </c>
      <c r="L14" s="23" t="s">
        <v>195</v>
      </c>
      <c r="M14" s="24" t="s">
        <v>196</v>
      </c>
      <c r="N14" s="24" t="s">
        <v>197</v>
      </c>
      <c r="O14" s="25" t="s">
        <v>198</v>
      </c>
      <c r="P14" s="26" t="s">
        <v>199</v>
      </c>
    </row>
    <row r="15" spans="1:16" ht="12.75" customHeight="1" thickBot="1" x14ac:dyDescent="0.25">
      <c r="A15" s="6" t="str">
        <f t="shared" si="0"/>
        <v>IBVS 6029 </v>
      </c>
      <c r="B15" s="2" t="str">
        <f t="shared" si="1"/>
        <v>II</v>
      </c>
      <c r="C15" s="6">
        <f t="shared" si="2"/>
        <v>56078.894999999997</v>
      </c>
      <c r="D15" s="7" t="str">
        <f t="shared" si="3"/>
        <v>vis</v>
      </c>
      <c r="E15" s="22" t="e">
        <f>VLOOKUP(C15,#REF!,3,FALSE)</f>
        <v>#REF!</v>
      </c>
      <c r="F15" s="2" t="s">
        <v>56</v>
      </c>
      <c r="G15" s="7" t="str">
        <f t="shared" si="4"/>
        <v>56078.895</v>
      </c>
      <c r="H15" s="6">
        <f t="shared" si="5"/>
        <v>24832.5</v>
      </c>
      <c r="I15" s="23" t="s">
        <v>200</v>
      </c>
      <c r="J15" s="24" t="s">
        <v>201</v>
      </c>
      <c r="K15" s="23">
        <v>24832.5</v>
      </c>
      <c r="L15" s="23" t="s">
        <v>202</v>
      </c>
      <c r="M15" s="24" t="s">
        <v>196</v>
      </c>
      <c r="N15" s="24" t="s">
        <v>56</v>
      </c>
      <c r="O15" s="25" t="s">
        <v>186</v>
      </c>
      <c r="P15" s="26" t="s">
        <v>203</v>
      </c>
    </row>
    <row r="16" spans="1:16" ht="12.75" customHeight="1" thickBot="1" x14ac:dyDescent="0.25">
      <c r="A16" s="6" t="str">
        <f t="shared" si="0"/>
        <v> AOLD 20.190 </v>
      </c>
      <c r="B16" s="2" t="str">
        <f t="shared" si="1"/>
        <v>II</v>
      </c>
      <c r="C16" s="6">
        <f t="shared" si="2"/>
        <v>27335.292000000001</v>
      </c>
      <c r="D16" s="7" t="str">
        <f t="shared" si="3"/>
        <v>vis</v>
      </c>
      <c r="E16" s="22" t="e">
        <f>VLOOKUP(C16,#REF!,3,FALSE)</f>
        <v>#REF!</v>
      </c>
      <c r="F16" s="2" t="s">
        <v>56</v>
      </c>
      <c r="G16" s="7" t="str">
        <f t="shared" si="4"/>
        <v>27335.292</v>
      </c>
      <c r="H16" s="6">
        <f t="shared" si="5"/>
        <v>-499.5</v>
      </c>
      <c r="I16" s="23" t="s">
        <v>59</v>
      </c>
      <c r="J16" s="24" t="s">
        <v>60</v>
      </c>
      <c r="K16" s="23">
        <v>-499.5</v>
      </c>
      <c r="L16" s="23" t="s">
        <v>61</v>
      </c>
      <c r="M16" s="24" t="s">
        <v>62</v>
      </c>
      <c r="N16" s="24"/>
      <c r="O16" s="25" t="s">
        <v>63</v>
      </c>
      <c r="P16" s="25" t="s">
        <v>64</v>
      </c>
    </row>
    <row r="17" spans="1:16" ht="12.75" customHeight="1" thickBot="1" x14ac:dyDescent="0.25">
      <c r="A17" s="6" t="str">
        <f t="shared" si="0"/>
        <v> AOLD 20.190 </v>
      </c>
      <c r="B17" s="2" t="str">
        <f t="shared" si="1"/>
        <v>I</v>
      </c>
      <c r="C17" s="6">
        <f t="shared" si="2"/>
        <v>27901.98</v>
      </c>
      <c r="D17" s="7" t="str">
        <f t="shared" si="3"/>
        <v>vis</v>
      </c>
      <c r="E17" s="22" t="e">
        <f>VLOOKUP(C17,#REF!,3,FALSE)</f>
        <v>#REF!</v>
      </c>
      <c r="F17" s="2" t="s">
        <v>56</v>
      </c>
      <c r="G17" s="7" t="str">
        <f t="shared" si="4"/>
        <v>27901.980</v>
      </c>
      <c r="H17" s="6">
        <f t="shared" si="5"/>
        <v>0</v>
      </c>
      <c r="I17" s="23" t="s">
        <v>65</v>
      </c>
      <c r="J17" s="24" t="s">
        <v>66</v>
      </c>
      <c r="K17" s="23">
        <v>0</v>
      </c>
      <c r="L17" s="23" t="s">
        <v>67</v>
      </c>
      <c r="M17" s="24" t="s">
        <v>62</v>
      </c>
      <c r="N17" s="24"/>
      <c r="O17" s="25" t="s">
        <v>63</v>
      </c>
      <c r="P17" s="25" t="s">
        <v>64</v>
      </c>
    </row>
    <row r="18" spans="1:16" ht="12.75" customHeight="1" thickBot="1" x14ac:dyDescent="0.25">
      <c r="A18" s="6" t="str">
        <f t="shared" si="0"/>
        <v> AOLD 20.190 </v>
      </c>
      <c r="B18" s="2" t="str">
        <f t="shared" si="1"/>
        <v>I</v>
      </c>
      <c r="C18" s="6">
        <f t="shared" si="2"/>
        <v>27926.933000000001</v>
      </c>
      <c r="D18" s="7" t="str">
        <f t="shared" si="3"/>
        <v>vis</v>
      </c>
      <c r="E18" s="22" t="e">
        <f>VLOOKUP(C18,#REF!,3,FALSE)</f>
        <v>#REF!</v>
      </c>
      <c r="F18" s="2" t="s">
        <v>56</v>
      </c>
      <c r="G18" s="7" t="str">
        <f t="shared" si="4"/>
        <v>27926.933</v>
      </c>
      <c r="H18" s="6">
        <f t="shared" si="5"/>
        <v>22</v>
      </c>
      <c r="I18" s="23" t="s">
        <v>68</v>
      </c>
      <c r="J18" s="24" t="s">
        <v>69</v>
      </c>
      <c r="K18" s="23">
        <v>22</v>
      </c>
      <c r="L18" s="23" t="s">
        <v>70</v>
      </c>
      <c r="M18" s="24" t="s">
        <v>62</v>
      </c>
      <c r="N18" s="24"/>
      <c r="O18" s="25" t="s">
        <v>63</v>
      </c>
      <c r="P18" s="25" t="s">
        <v>64</v>
      </c>
    </row>
    <row r="19" spans="1:16" ht="12.75" customHeight="1" thickBot="1" x14ac:dyDescent="0.25">
      <c r="A19" s="6" t="str">
        <f t="shared" si="0"/>
        <v> AOLD 20.190 </v>
      </c>
      <c r="B19" s="2" t="str">
        <f t="shared" si="1"/>
        <v>II</v>
      </c>
      <c r="C19" s="6">
        <f t="shared" si="2"/>
        <v>27929.813999999998</v>
      </c>
      <c r="D19" s="7" t="str">
        <f t="shared" si="3"/>
        <v>vis</v>
      </c>
      <c r="E19" s="22" t="e">
        <f>VLOOKUP(C19,#REF!,3,FALSE)</f>
        <v>#REF!</v>
      </c>
      <c r="F19" s="2" t="s">
        <v>56</v>
      </c>
      <c r="G19" s="7" t="str">
        <f t="shared" si="4"/>
        <v>27929.814</v>
      </c>
      <c r="H19" s="6">
        <f t="shared" si="5"/>
        <v>24.5</v>
      </c>
      <c r="I19" s="23" t="s">
        <v>71</v>
      </c>
      <c r="J19" s="24" t="s">
        <v>72</v>
      </c>
      <c r="K19" s="23">
        <v>24.5</v>
      </c>
      <c r="L19" s="23" t="s">
        <v>73</v>
      </c>
      <c r="M19" s="24" t="s">
        <v>62</v>
      </c>
      <c r="N19" s="24"/>
      <c r="O19" s="25" t="s">
        <v>63</v>
      </c>
      <c r="P19" s="25" t="s">
        <v>64</v>
      </c>
    </row>
    <row r="20" spans="1:16" ht="12.75" customHeight="1" thickBot="1" x14ac:dyDescent="0.25">
      <c r="A20" s="6" t="str">
        <f t="shared" si="0"/>
        <v> AOLD 20.190 </v>
      </c>
      <c r="B20" s="2" t="str">
        <f t="shared" si="1"/>
        <v>II</v>
      </c>
      <c r="C20" s="6">
        <f t="shared" si="2"/>
        <v>27963.821</v>
      </c>
      <c r="D20" s="7" t="str">
        <f t="shared" si="3"/>
        <v>vis</v>
      </c>
      <c r="E20" s="22" t="e">
        <f>VLOOKUP(C20,#REF!,3,FALSE)</f>
        <v>#REF!</v>
      </c>
      <c r="F20" s="2" t="s">
        <v>56</v>
      </c>
      <c r="G20" s="7" t="str">
        <f t="shared" si="4"/>
        <v>27963.821</v>
      </c>
      <c r="H20" s="6">
        <f t="shared" si="5"/>
        <v>54.5</v>
      </c>
      <c r="I20" s="23" t="s">
        <v>74</v>
      </c>
      <c r="J20" s="24" t="s">
        <v>75</v>
      </c>
      <c r="K20" s="23">
        <v>54.5</v>
      </c>
      <c r="L20" s="23" t="s">
        <v>76</v>
      </c>
      <c r="M20" s="24" t="s">
        <v>62</v>
      </c>
      <c r="N20" s="24"/>
      <c r="O20" s="25" t="s">
        <v>63</v>
      </c>
      <c r="P20" s="25" t="s">
        <v>64</v>
      </c>
    </row>
    <row r="21" spans="1:16" ht="12.75" customHeight="1" thickBot="1" x14ac:dyDescent="0.25">
      <c r="A21" s="6" t="str">
        <f t="shared" si="0"/>
        <v> AOLD 20.190 </v>
      </c>
      <c r="B21" s="2" t="str">
        <f t="shared" si="1"/>
        <v>II</v>
      </c>
      <c r="C21" s="6">
        <f t="shared" si="2"/>
        <v>27963.878000000001</v>
      </c>
      <c r="D21" s="7" t="str">
        <f t="shared" si="3"/>
        <v>vis</v>
      </c>
      <c r="E21" s="22" t="e">
        <f>VLOOKUP(C21,#REF!,3,FALSE)</f>
        <v>#REF!</v>
      </c>
      <c r="F21" s="2" t="s">
        <v>56</v>
      </c>
      <c r="G21" s="7" t="str">
        <f t="shared" si="4"/>
        <v>27963.878</v>
      </c>
      <c r="H21" s="6">
        <f t="shared" si="5"/>
        <v>54.5</v>
      </c>
      <c r="I21" s="23" t="s">
        <v>77</v>
      </c>
      <c r="J21" s="24" t="s">
        <v>78</v>
      </c>
      <c r="K21" s="23">
        <v>54.5</v>
      </c>
      <c r="L21" s="23" t="s">
        <v>79</v>
      </c>
      <c r="M21" s="24" t="s">
        <v>62</v>
      </c>
      <c r="N21" s="24"/>
      <c r="O21" s="25" t="s">
        <v>63</v>
      </c>
      <c r="P21" s="25" t="s">
        <v>64</v>
      </c>
    </row>
    <row r="22" spans="1:16" ht="12.75" customHeight="1" thickBot="1" x14ac:dyDescent="0.25">
      <c r="A22" s="6" t="str">
        <f t="shared" si="0"/>
        <v> AOLD 20.190 </v>
      </c>
      <c r="B22" s="2" t="str">
        <f t="shared" si="1"/>
        <v>I</v>
      </c>
      <c r="C22" s="6">
        <f t="shared" si="2"/>
        <v>27983.723999999998</v>
      </c>
      <c r="D22" s="7" t="str">
        <f t="shared" si="3"/>
        <v>vis</v>
      </c>
      <c r="E22" s="22" t="e">
        <f>VLOOKUP(C22,#REF!,3,FALSE)</f>
        <v>#REF!</v>
      </c>
      <c r="F22" s="2" t="s">
        <v>56</v>
      </c>
      <c r="G22" s="7" t="str">
        <f t="shared" si="4"/>
        <v>27983.724</v>
      </c>
      <c r="H22" s="6">
        <f t="shared" si="5"/>
        <v>72</v>
      </c>
      <c r="I22" s="23" t="s">
        <v>80</v>
      </c>
      <c r="J22" s="24" t="s">
        <v>81</v>
      </c>
      <c r="K22" s="23">
        <v>72</v>
      </c>
      <c r="L22" s="23" t="s">
        <v>82</v>
      </c>
      <c r="M22" s="24" t="s">
        <v>62</v>
      </c>
      <c r="N22" s="24"/>
      <c r="O22" s="25" t="s">
        <v>63</v>
      </c>
      <c r="P22" s="25" t="s">
        <v>64</v>
      </c>
    </row>
    <row r="23" spans="1:16" ht="12.75" customHeight="1" thickBot="1" x14ac:dyDescent="0.25">
      <c r="A23" s="6" t="str">
        <f t="shared" si="0"/>
        <v> AOLD 20.190 </v>
      </c>
      <c r="B23" s="2" t="str">
        <f t="shared" si="1"/>
        <v>II</v>
      </c>
      <c r="C23" s="6">
        <f t="shared" si="2"/>
        <v>27984.27</v>
      </c>
      <c r="D23" s="7" t="str">
        <f t="shared" si="3"/>
        <v>vis</v>
      </c>
      <c r="E23" s="22" t="e">
        <f>VLOOKUP(C23,#REF!,3,FALSE)</f>
        <v>#REF!</v>
      </c>
      <c r="F23" s="2" t="s">
        <v>56</v>
      </c>
      <c r="G23" s="7" t="str">
        <f t="shared" si="4"/>
        <v>27984.270</v>
      </c>
      <c r="H23" s="6">
        <f t="shared" si="5"/>
        <v>72.5</v>
      </c>
      <c r="I23" s="23" t="s">
        <v>83</v>
      </c>
      <c r="J23" s="24" t="s">
        <v>84</v>
      </c>
      <c r="K23" s="23">
        <v>72.5</v>
      </c>
      <c r="L23" s="23" t="s">
        <v>85</v>
      </c>
      <c r="M23" s="24" t="s">
        <v>62</v>
      </c>
      <c r="N23" s="24"/>
      <c r="O23" s="25" t="s">
        <v>63</v>
      </c>
      <c r="P23" s="25" t="s">
        <v>64</v>
      </c>
    </row>
    <row r="24" spans="1:16" ht="12.75" customHeight="1" thickBot="1" x14ac:dyDescent="0.25">
      <c r="A24" s="6" t="str">
        <f t="shared" si="0"/>
        <v> AOLD 20.190 </v>
      </c>
      <c r="B24" s="2" t="str">
        <f t="shared" si="1"/>
        <v>II</v>
      </c>
      <c r="C24" s="6">
        <f t="shared" si="2"/>
        <v>27984.292000000001</v>
      </c>
      <c r="D24" s="7" t="str">
        <f t="shared" si="3"/>
        <v>vis</v>
      </c>
      <c r="E24" s="22" t="e">
        <f>VLOOKUP(C24,#REF!,3,FALSE)</f>
        <v>#REF!</v>
      </c>
      <c r="F24" s="2" t="s">
        <v>56</v>
      </c>
      <c r="G24" s="7" t="str">
        <f t="shared" si="4"/>
        <v>27984.292</v>
      </c>
      <c r="H24" s="6">
        <f t="shared" si="5"/>
        <v>72.5</v>
      </c>
      <c r="I24" s="23" t="s">
        <v>86</v>
      </c>
      <c r="J24" s="24" t="s">
        <v>87</v>
      </c>
      <c r="K24" s="23">
        <v>72.5</v>
      </c>
      <c r="L24" s="23" t="s">
        <v>88</v>
      </c>
      <c r="M24" s="24" t="s">
        <v>62</v>
      </c>
      <c r="N24" s="24"/>
      <c r="O24" s="25" t="s">
        <v>63</v>
      </c>
      <c r="P24" s="25" t="s">
        <v>64</v>
      </c>
    </row>
    <row r="25" spans="1:16" ht="12.75" customHeight="1" thickBot="1" x14ac:dyDescent="0.25">
      <c r="A25" s="6" t="str">
        <f t="shared" si="0"/>
        <v> AOLD 20.190 </v>
      </c>
      <c r="B25" s="2" t="str">
        <f t="shared" si="1"/>
        <v>I</v>
      </c>
      <c r="C25" s="6">
        <f t="shared" si="2"/>
        <v>27984.83</v>
      </c>
      <c r="D25" s="7" t="str">
        <f t="shared" si="3"/>
        <v>vis</v>
      </c>
      <c r="E25" s="22" t="e">
        <f>VLOOKUP(C25,#REF!,3,FALSE)</f>
        <v>#REF!</v>
      </c>
      <c r="F25" s="2" t="s">
        <v>56</v>
      </c>
      <c r="G25" s="7" t="str">
        <f t="shared" si="4"/>
        <v>27984.830</v>
      </c>
      <c r="H25" s="6">
        <f t="shared" si="5"/>
        <v>73</v>
      </c>
      <c r="I25" s="23" t="s">
        <v>89</v>
      </c>
      <c r="J25" s="24" t="s">
        <v>90</v>
      </c>
      <c r="K25" s="23">
        <v>73</v>
      </c>
      <c r="L25" s="23" t="s">
        <v>91</v>
      </c>
      <c r="M25" s="24" t="s">
        <v>62</v>
      </c>
      <c r="N25" s="24"/>
      <c r="O25" s="25" t="s">
        <v>63</v>
      </c>
      <c r="P25" s="25" t="s">
        <v>64</v>
      </c>
    </row>
    <row r="26" spans="1:16" ht="12.75" customHeight="1" thickBot="1" x14ac:dyDescent="0.25">
      <c r="A26" s="6" t="str">
        <f t="shared" si="0"/>
        <v> AOLD 20.190 </v>
      </c>
      <c r="B26" s="2" t="str">
        <f t="shared" si="1"/>
        <v>II</v>
      </c>
      <c r="C26" s="6">
        <f t="shared" si="2"/>
        <v>27985.360000000001</v>
      </c>
      <c r="D26" s="7" t="str">
        <f t="shared" si="3"/>
        <v>vis</v>
      </c>
      <c r="E26" s="22" t="e">
        <f>VLOOKUP(C26,#REF!,3,FALSE)</f>
        <v>#REF!</v>
      </c>
      <c r="F26" s="2" t="s">
        <v>56</v>
      </c>
      <c r="G26" s="7" t="str">
        <f t="shared" si="4"/>
        <v>27985.360</v>
      </c>
      <c r="H26" s="6">
        <f t="shared" si="5"/>
        <v>73.5</v>
      </c>
      <c r="I26" s="23" t="s">
        <v>92</v>
      </c>
      <c r="J26" s="24" t="s">
        <v>93</v>
      </c>
      <c r="K26" s="23">
        <v>73.5</v>
      </c>
      <c r="L26" s="23" t="s">
        <v>94</v>
      </c>
      <c r="M26" s="24" t="s">
        <v>62</v>
      </c>
      <c r="N26" s="24"/>
      <c r="O26" s="25" t="s">
        <v>63</v>
      </c>
      <c r="P26" s="25" t="s">
        <v>64</v>
      </c>
    </row>
    <row r="27" spans="1:16" ht="12.75" customHeight="1" thickBot="1" x14ac:dyDescent="0.25">
      <c r="A27" s="6" t="str">
        <f t="shared" si="0"/>
        <v> AOLD 20.190 </v>
      </c>
      <c r="B27" s="2" t="str">
        <f t="shared" si="1"/>
        <v>II</v>
      </c>
      <c r="C27" s="6">
        <f t="shared" si="2"/>
        <v>27985.431</v>
      </c>
      <c r="D27" s="7" t="str">
        <f t="shared" si="3"/>
        <v>vis</v>
      </c>
      <c r="E27" s="22" t="e">
        <f>VLOOKUP(C27,#REF!,3,FALSE)</f>
        <v>#REF!</v>
      </c>
      <c r="F27" s="2" t="s">
        <v>56</v>
      </c>
      <c r="G27" s="7" t="str">
        <f t="shared" si="4"/>
        <v>27985.431</v>
      </c>
      <c r="H27" s="6">
        <f t="shared" si="5"/>
        <v>73.5</v>
      </c>
      <c r="I27" s="23" t="s">
        <v>95</v>
      </c>
      <c r="J27" s="24" t="s">
        <v>96</v>
      </c>
      <c r="K27" s="23">
        <v>73.5</v>
      </c>
      <c r="L27" s="23" t="s">
        <v>97</v>
      </c>
      <c r="M27" s="24" t="s">
        <v>62</v>
      </c>
      <c r="N27" s="24"/>
      <c r="O27" s="25" t="s">
        <v>63</v>
      </c>
      <c r="P27" s="25" t="s">
        <v>64</v>
      </c>
    </row>
    <row r="28" spans="1:16" ht="12.75" customHeight="1" thickBot="1" x14ac:dyDescent="0.25">
      <c r="A28" s="6" t="str">
        <f t="shared" si="0"/>
        <v> AOLD 20.190 </v>
      </c>
      <c r="B28" s="2" t="str">
        <f t="shared" si="1"/>
        <v>II</v>
      </c>
      <c r="C28" s="6">
        <f t="shared" si="2"/>
        <v>27985.473999999998</v>
      </c>
      <c r="D28" s="7" t="str">
        <f t="shared" si="3"/>
        <v>vis</v>
      </c>
      <c r="E28" s="22" t="e">
        <f>VLOOKUP(C28,#REF!,3,FALSE)</f>
        <v>#REF!</v>
      </c>
      <c r="F28" s="2" t="s">
        <v>56</v>
      </c>
      <c r="G28" s="7" t="str">
        <f t="shared" si="4"/>
        <v>27985.474</v>
      </c>
      <c r="H28" s="6">
        <f t="shared" si="5"/>
        <v>73.5</v>
      </c>
      <c r="I28" s="23" t="s">
        <v>98</v>
      </c>
      <c r="J28" s="24" t="s">
        <v>99</v>
      </c>
      <c r="K28" s="23">
        <v>73.5</v>
      </c>
      <c r="L28" s="23" t="s">
        <v>100</v>
      </c>
      <c r="M28" s="24" t="s">
        <v>62</v>
      </c>
      <c r="N28" s="24"/>
      <c r="O28" s="25" t="s">
        <v>63</v>
      </c>
      <c r="P28" s="25" t="s">
        <v>64</v>
      </c>
    </row>
    <row r="29" spans="1:16" ht="12.75" customHeight="1" thickBot="1" x14ac:dyDescent="0.25">
      <c r="A29" s="6" t="str">
        <f t="shared" si="0"/>
        <v> AOLD 20.190 </v>
      </c>
      <c r="B29" s="2" t="str">
        <f t="shared" si="1"/>
        <v>II</v>
      </c>
      <c r="C29" s="6">
        <f t="shared" si="2"/>
        <v>28004.721000000001</v>
      </c>
      <c r="D29" s="7" t="str">
        <f t="shared" si="3"/>
        <v>vis</v>
      </c>
      <c r="E29" s="22" t="e">
        <f>VLOOKUP(C29,#REF!,3,FALSE)</f>
        <v>#REF!</v>
      </c>
      <c r="F29" s="2" t="s">
        <v>56</v>
      </c>
      <c r="G29" s="7" t="str">
        <f t="shared" si="4"/>
        <v>28004.721</v>
      </c>
      <c r="H29" s="6">
        <f t="shared" si="5"/>
        <v>90.5</v>
      </c>
      <c r="I29" s="23" t="s">
        <v>101</v>
      </c>
      <c r="J29" s="24" t="s">
        <v>102</v>
      </c>
      <c r="K29" s="23">
        <v>90.5</v>
      </c>
      <c r="L29" s="23" t="s">
        <v>103</v>
      </c>
      <c r="M29" s="24" t="s">
        <v>62</v>
      </c>
      <c r="N29" s="24"/>
      <c r="O29" s="25" t="s">
        <v>63</v>
      </c>
      <c r="P29" s="25" t="s">
        <v>64</v>
      </c>
    </row>
    <row r="30" spans="1:16" ht="12.75" customHeight="1" thickBot="1" x14ac:dyDescent="0.25">
      <c r="A30" s="6" t="str">
        <f t="shared" si="0"/>
        <v> AOLD 20.190 </v>
      </c>
      <c r="B30" s="2" t="str">
        <f t="shared" si="1"/>
        <v>II</v>
      </c>
      <c r="C30" s="6">
        <f t="shared" si="2"/>
        <v>28013.741000000002</v>
      </c>
      <c r="D30" s="7" t="str">
        <f t="shared" si="3"/>
        <v>vis</v>
      </c>
      <c r="E30" s="22" t="e">
        <f>VLOOKUP(C30,#REF!,3,FALSE)</f>
        <v>#REF!</v>
      </c>
      <c r="F30" s="2" t="s">
        <v>56</v>
      </c>
      <c r="G30" s="7" t="str">
        <f t="shared" si="4"/>
        <v>28013.741</v>
      </c>
      <c r="H30" s="6">
        <f t="shared" si="5"/>
        <v>98.5</v>
      </c>
      <c r="I30" s="23" t="s">
        <v>104</v>
      </c>
      <c r="J30" s="24" t="s">
        <v>105</v>
      </c>
      <c r="K30" s="23">
        <v>98.5</v>
      </c>
      <c r="L30" s="23" t="s">
        <v>106</v>
      </c>
      <c r="M30" s="24" t="s">
        <v>62</v>
      </c>
      <c r="N30" s="24"/>
      <c r="O30" s="25" t="s">
        <v>63</v>
      </c>
      <c r="P30" s="25" t="s">
        <v>64</v>
      </c>
    </row>
    <row r="31" spans="1:16" ht="12.75" customHeight="1" thickBot="1" x14ac:dyDescent="0.25">
      <c r="A31" s="6" t="str">
        <f t="shared" si="0"/>
        <v> AOLD 20.190 </v>
      </c>
      <c r="B31" s="2" t="str">
        <f t="shared" si="1"/>
        <v>II</v>
      </c>
      <c r="C31" s="6">
        <f t="shared" si="2"/>
        <v>28013.838</v>
      </c>
      <c r="D31" s="7" t="str">
        <f t="shared" si="3"/>
        <v>vis</v>
      </c>
      <c r="E31" s="22" t="e">
        <f>VLOOKUP(C31,#REF!,3,FALSE)</f>
        <v>#REF!</v>
      </c>
      <c r="F31" s="2" t="s">
        <v>56</v>
      </c>
      <c r="G31" s="7" t="str">
        <f t="shared" si="4"/>
        <v>28013.838</v>
      </c>
      <c r="H31" s="6">
        <f t="shared" si="5"/>
        <v>98.5</v>
      </c>
      <c r="I31" s="23" t="s">
        <v>107</v>
      </c>
      <c r="J31" s="24" t="s">
        <v>108</v>
      </c>
      <c r="K31" s="23">
        <v>98.5</v>
      </c>
      <c r="L31" s="23" t="s">
        <v>109</v>
      </c>
      <c r="M31" s="24" t="s">
        <v>62</v>
      </c>
      <c r="N31" s="24"/>
      <c r="O31" s="25" t="s">
        <v>63</v>
      </c>
      <c r="P31" s="25" t="s">
        <v>64</v>
      </c>
    </row>
    <row r="32" spans="1:16" ht="12.75" customHeight="1" thickBot="1" x14ac:dyDescent="0.25">
      <c r="A32" s="6" t="str">
        <f t="shared" si="0"/>
        <v> AOLD 20.190 </v>
      </c>
      <c r="B32" s="2" t="str">
        <f t="shared" si="1"/>
        <v>II</v>
      </c>
      <c r="C32" s="6">
        <f t="shared" si="2"/>
        <v>28038.742999999999</v>
      </c>
      <c r="D32" s="7" t="str">
        <f t="shared" si="3"/>
        <v>vis</v>
      </c>
      <c r="E32" s="22" t="e">
        <f>VLOOKUP(C32,#REF!,3,FALSE)</f>
        <v>#REF!</v>
      </c>
      <c r="F32" s="2" t="s">
        <v>56</v>
      </c>
      <c r="G32" s="7" t="str">
        <f t="shared" si="4"/>
        <v>28038.743</v>
      </c>
      <c r="H32" s="6">
        <f t="shared" si="5"/>
        <v>120.5</v>
      </c>
      <c r="I32" s="23" t="s">
        <v>110</v>
      </c>
      <c r="J32" s="24" t="s">
        <v>111</v>
      </c>
      <c r="K32" s="23">
        <v>120.5</v>
      </c>
      <c r="L32" s="23" t="s">
        <v>112</v>
      </c>
      <c r="M32" s="24" t="s">
        <v>62</v>
      </c>
      <c r="N32" s="24"/>
      <c r="O32" s="25" t="s">
        <v>63</v>
      </c>
      <c r="P32" s="25" t="s">
        <v>64</v>
      </c>
    </row>
    <row r="33" spans="1:16" ht="12.75" customHeight="1" thickBot="1" x14ac:dyDescent="0.25">
      <c r="A33" s="6" t="str">
        <f t="shared" si="0"/>
        <v> AOLD 20.190 </v>
      </c>
      <c r="B33" s="2" t="str">
        <f t="shared" si="1"/>
        <v>I</v>
      </c>
      <c r="C33" s="6">
        <f t="shared" si="2"/>
        <v>28042.682000000001</v>
      </c>
      <c r="D33" s="7" t="str">
        <f t="shared" si="3"/>
        <v>vis</v>
      </c>
      <c r="E33" s="22" t="e">
        <f>VLOOKUP(C33,#REF!,3,FALSE)</f>
        <v>#REF!</v>
      </c>
      <c r="F33" s="2" t="s">
        <v>56</v>
      </c>
      <c r="G33" s="7" t="str">
        <f t="shared" si="4"/>
        <v>28042.682</v>
      </c>
      <c r="H33" s="6">
        <f t="shared" si="5"/>
        <v>124</v>
      </c>
      <c r="I33" s="23" t="s">
        <v>113</v>
      </c>
      <c r="J33" s="24" t="s">
        <v>114</v>
      </c>
      <c r="K33" s="23">
        <v>124</v>
      </c>
      <c r="L33" s="23" t="s">
        <v>115</v>
      </c>
      <c r="M33" s="24" t="s">
        <v>62</v>
      </c>
      <c r="N33" s="24"/>
      <c r="O33" s="25" t="s">
        <v>63</v>
      </c>
      <c r="P33" s="25" t="s">
        <v>64</v>
      </c>
    </row>
    <row r="34" spans="1:16" ht="12.75" customHeight="1" thickBot="1" x14ac:dyDescent="0.25">
      <c r="A34" s="6" t="str">
        <f t="shared" si="0"/>
        <v> AOLD 20.190 </v>
      </c>
      <c r="B34" s="2" t="str">
        <f t="shared" si="1"/>
        <v>I</v>
      </c>
      <c r="C34" s="6">
        <f t="shared" si="2"/>
        <v>28067.681</v>
      </c>
      <c r="D34" s="7" t="str">
        <f t="shared" si="3"/>
        <v>vis</v>
      </c>
      <c r="E34" s="22" t="e">
        <f>VLOOKUP(C34,#REF!,3,FALSE)</f>
        <v>#REF!</v>
      </c>
      <c r="F34" s="2" t="s">
        <v>56</v>
      </c>
      <c r="G34" s="7" t="str">
        <f t="shared" si="4"/>
        <v>28067.681</v>
      </c>
      <c r="H34" s="6">
        <f t="shared" si="5"/>
        <v>146</v>
      </c>
      <c r="I34" s="23" t="s">
        <v>116</v>
      </c>
      <c r="J34" s="24" t="s">
        <v>117</v>
      </c>
      <c r="K34" s="23">
        <v>146</v>
      </c>
      <c r="L34" s="23" t="s">
        <v>118</v>
      </c>
      <c r="M34" s="24" t="s">
        <v>62</v>
      </c>
      <c r="N34" s="24"/>
      <c r="O34" s="25" t="s">
        <v>63</v>
      </c>
      <c r="P34" s="25" t="s">
        <v>64</v>
      </c>
    </row>
    <row r="35" spans="1:16" ht="12.75" customHeight="1" thickBot="1" x14ac:dyDescent="0.25">
      <c r="A35" s="6" t="str">
        <f t="shared" si="0"/>
        <v> AOLD 20.190 </v>
      </c>
      <c r="B35" s="2" t="str">
        <f t="shared" si="1"/>
        <v>II</v>
      </c>
      <c r="C35" s="6">
        <f t="shared" si="2"/>
        <v>28719.508999999998</v>
      </c>
      <c r="D35" s="7" t="str">
        <f t="shared" si="3"/>
        <v>vis</v>
      </c>
      <c r="E35" s="22" t="e">
        <f>VLOOKUP(C35,#REF!,3,FALSE)</f>
        <v>#REF!</v>
      </c>
      <c r="F35" s="2" t="s">
        <v>56</v>
      </c>
      <c r="G35" s="7" t="str">
        <f t="shared" si="4"/>
        <v>28719.509</v>
      </c>
      <c r="H35" s="6">
        <f t="shared" si="5"/>
        <v>720.5</v>
      </c>
      <c r="I35" s="23" t="s">
        <v>119</v>
      </c>
      <c r="J35" s="24" t="s">
        <v>120</v>
      </c>
      <c r="K35" s="23">
        <v>720.5</v>
      </c>
      <c r="L35" s="23" t="s">
        <v>106</v>
      </c>
      <c r="M35" s="24" t="s">
        <v>62</v>
      </c>
      <c r="N35" s="24"/>
      <c r="O35" s="25" t="s">
        <v>63</v>
      </c>
      <c r="P35" s="25" t="s">
        <v>64</v>
      </c>
    </row>
    <row r="36" spans="1:16" ht="12.75" customHeight="1" thickBot="1" x14ac:dyDescent="0.25">
      <c r="A36" s="6" t="str">
        <f t="shared" si="0"/>
        <v> AOLD 20.190 </v>
      </c>
      <c r="B36" s="2" t="str">
        <f t="shared" si="1"/>
        <v>II</v>
      </c>
      <c r="C36" s="6">
        <f t="shared" si="2"/>
        <v>28719.53</v>
      </c>
      <c r="D36" s="7" t="str">
        <f t="shared" si="3"/>
        <v>vis</v>
      </c>
      <c r="E36" s="22" t="e">
        <f>VLOOKUP(C36,#REF!,3,FALSE)</f>
        <v>#REF!</v>
      </c>
      <c r="F36" s="2" t="s">
        <v>56</v>
      </c>
      <c r="G36" s="7" t="str">
        <f t="shared" si="4"/>
        <v>28719.530</v>
      </c>
      <c r="H36" s="6">
        <f t="shared" si="5"/>
        <v>720.5</v>
      </c>
      <c r="I36" s="23" t="s">
        <v>121</v>
      </c>
      <c r="J36" s="24" t="s">
        <v>122</v>
      </c>
      <c r="K36" s="23">
        <v>720.5</v>
      </c>
      <c r="L36" s="23" t="s">
        <v>123</v>
      </c>
      <c r="M36" s="24" t="s">
        <v>62</v>
      </c>
      <c r="N36" s="24"/>
      <c r="O36" s="25" t="s">
        <v>63</v>
      </c>
      <c r="P36" s="25" t="s">
        <v>64</v>
      </c>
    </row>
    <row r="37" spans="1:16" ht="12.75" customHeight="1" thickBot="1" x14ac:dyDescent="0.25">
      <c r="A37" s="6" t="str">
        <f t="shared" si="0"/>
        <v> AOLD 20.190 </v>
      </c>
      <c r="B37" s="2" t="str">
        <f t="shared" si="1"/>
        <v>II</v>
      </c>
      <c r="C37" s="6">
        <f t="shared" si="2"/>
        <v>28727.465</v>
      </c>
      <c r="D37" s="7" t="str">
        <f t="shared" si="3"/>
        <v>vis</v>
      </c>
      <c r="E37" s="22" t="e">
        <f>VLOOKUP(C37,#REF!,3,FALSE)</f>
        <v>#REF!</v>
      </c>
      <c r="F37" s="2" t="s">
        <v>56</v>
      </c>
      <c r="G37" s="7" t="str">
        <f t="shared" si="4"/>
        <v>28727.465</v>
      </c>
      <c r="H37" s="6">
        <f t="shared" si="5"/>
        <v>727.5</v>
      </c>
      <c r="I37" s="23" t="s">
        <v>124</v>
      </c>
      <c r="J37" s="24" t="s">
        <v>125</v>
      </c>
      <c r="K37" s="23">
        <v>727.5</v>
      </c>
      <c r="L37" s="23" t="s">
        <v>126</v>
      </c>
      <c r="M37" s="24" t="s">
        <v>62</v>
      </c>
      <c r="N37" s="24"/>
      <c r="O37" s="25" t="s">
        <v>63</v>
      </c>
      <c r="P37" s="25" t="s">
        <v>64</v>
      </c>
    </row>
    <row r="38" spans="1:16" ht="12.75" customHeight="1" thickBot="1" x14ac:dyDescent="0.25">
      <c r="A38" s="6" t="str">
        <f t="shared" si="0"/>
        <v> AOLD 20.190 </v>
      </c>
      <c r="B38" s="2" t="str">
        <f t="shared" si="1"/>
        <v>II</v>
      </c>
      <c r="C38" s="6">
        <f t="shared" si="2"/>
        <v>28727.487000000001</v>
      </c>
      <c r="D38" s="7" t="str">
        <f t="shared" si="3"/>
        <v>vis</v>
      </c>
      <c r="E38" s="22" t="e">
        <f>VLOOKUP(C38,#REF!,3,FALSE)</f>
        <v>#REF!</v>
      </c>
      <c r="F38" s="2" t="s">
        <v>56</v>
      </c>
      <c r="G38" s="7" t="str">
        <f t="shared" si="4"/>
        <v>28727.487</v>
      </c>
      <c r="H38" s="6">
        <f t="shared" si="5"/>
        <v>727.5</v>
      </c>
      <c r="I38" s="23" t="s">
        <v>127</v>
      </c>
      <c r="J38" s="24" t="s">
        <v>128</v>
      </c>
      <c r="K38" s="23">
        <v>727.5</v>
      </c>
      <c r="L38" s="23" t="s">
        <v>129</v>
      </c>
      <c r="M38" s="24" t="s">
        <v>62</v>
      </c>
      <c r="N38" s="24"/>
      <c r="O38" s="25" t="s">
        <v>63</v>
      </c>
      <c r="P38" s="25" t="s">
        <v>64</v>
      </c>
    </row>
    <row r="39" spans="1:16" ht="12.75" customHeight="1" thickBot="1" x14ac:dyDescent="0.25">
      <c r="A39" s="6" t="str">
        <f t="shared" si="0"/>
        <v> AOLD 20.190 </v>
      </c>
      <c r="B39" s="2" t="str">
        <f t="shared" si="1"/>
        <v>II</v>
      </c>
      <c r="C39" s="6">
        <f t="shared" si="2"/>
        <v>28760.411</v>
      </c>
      <c r="D39" s="7" t="str">
        <f t="shared" si="3"/>
        <v>vis</v>
      </c>
      <c r="E39" s="22" t="e">
        <f>VLOOKUP(C39,#REF!,3,FALSE)</f>
        <v>#REF!</v>
      </c>
      <c r="F39" s="2" t="s">
        <v>56</v>
      </c>
      <c r="G39" s="7" t="str">
        <f t="shared" si="4"/>
        <v>28760.411</v>
      </c>
      <c r="H39" s="6">
        <f t="shared" si="5"/>
        <v>756.5</v>
      </c>
      <c r="I39" s="23" t="s">
        <v>130</v>
      </c>
      <c r="J39" s="24" t="s">
        <v>131</v>
      </c>
      <c r="K39" s="23">
        <v>756.5</v>
      </c>
      <c r="L39" s="23" t="s">
        <v>132</v>
      </c>
      <c r="M39" s="24" t="s">
        <v>62</v>
      </c>
      <c r="N39" s="24"/>
      <c r="O39" s="25" t="s">
        <v>63</v>
      </c>
      <c r="P39" s="25" t="s">
        <v>64</v>
      </c>
    </row>
    <row r="40" spans="1:16" ht="12.75" customHeight="1" thickBot="1" x14ac:dyDescent="0.25">
      <c r="A40" s="6" t="str">
        <f t="shared" si="0"/>
        <v> AOLD 20.190 </v>
      </c>
      <c r="B40" s="2" t="str">
        <f t="shared" si="1"/>
        <v>II</v>
      </c>
      <c r="C40" s="6">
        <f t="shared" si="2"/>
        <v>28760.433000000001</v>
      </c>
      <c r="D40" s="7" t="str">
        <f t="shared" si="3"/>
        <v>vis</v>
      </c>
      <c r="E40" s="22" t="e">
        <f>VLOOKUP(C40,#REF!,3,FALSE)</f>
        <v>#REF!</v>
      </c>
      <c r="F40" s="2" t="s">
        <v>56</v>
      </c>
      <c r="G40" s="7" t="str">
        <f t="shared" si="4"/>
        <v>28760.433</v>
      </c>
      <c r="H40" s="6">
        <f t="shared" si="5"/>
        <v>756.5</v>
      </c>
      <c r="I40" s="23" t="s">
        <v>133</v>
      </c>
      <c r="J40" s="24" t="s">
        <v>134</v>
      </c>
      <c r="K40" s="23">
        <v>756.5</v>
      </c>
      <c r="L40" s="23" t="s">
        <v>135</v>
      </c>
      <c r="M40" s="24" t="s">
        <v>62</v>
      </c>
      <c r="N40" s="24"/>
      <c r="O40" s="25" t="s">
        <v>63</v>
      </c>
      <c r="P40" s="25" t="s">
        <v>64</v>
      </c>
    </row>
    <row r="41" spans="1:16" ht="12.75" customHeight="1" thickBot="1" x14ac:dyDescent="0.25">
      <c r="A41" s="6" t="str">
        <f t="shared" si="0"/>
        <v> AOLD 20.190 </v>
      </c>
      <c r="B41" s="2" t="str">
        <f t="shared" si="1"/>
        <v>II</v>
      </c>
      <c r="C41" s="6">
        <f t="shared" si="2"/>
        <v>29021.422999999999</v>
      </c>
      <c r="D41" s="7" t="str">
        <f t="shared" si="3"/>
        <v>vis</v>
      </c>
      <c r="E41" s="22" t="e">
        <f>VLOOKUP(C41,#REF!,3,FALSE)</f>
        <v>#REF!</v>
      </c>
      <c r="F41" s="2" t="s">
        <v>56</v>
      </c>
      <c r="G41" s="7" t="str">
        <f t="shared" si="4"/>
        <v>29021.423</v>
      </c>
      <c r="H41" s="6">
        <f t="shared" si="5"/>
        <v>986.5</v>
      </c>
      <c r="I41" s="23" t="s">
        <v>136</v>
      </c>
      <c r="J41" s="24" t="s">
        <v>137</v>
      </c>
      <c r="K41" s="23">
        <v>986.5</v>
      </c>
      <c r="L41" s="23" t="s">
        <v>138</v>
      </c>
      <c r="M41" s="24" t="s">
        <v>62</v>
      </c>
      <c r="N41" s="24"/>
      <c r="O41" s="25" t="s">
        <v>63</v>
      </c>
      <c r="P41" s="25" t="s">
        <v>64</v>
      </c>
    </row>
    <row r="42" spans="1:16" ht="12.75" customHeight="1" thickBot="1" x14ac:dyDescent="0.25">
      <c r="A42" s="6" t="str">
        <f t="shared" si="0"/>
        <v> AOLD 20.190 </v>
      </c>
      <c r="B42" s="2" t="str">
        <f t="shared" si="1"/>
        <v>I</v>
      </c>
      <c r="C42" s="6">
        <f t="shared" si="2"/>
        <v>29043.486000000001</v>
      </c>
      <c r="D42" s="7" t="str">
        <f t="shared" si="3"/>
        <v>vis</v>
      </c>
      <c r="E42" s="22" t="e">
        <f>VLOOKUP(C42,#REF!,3,FALSE)</f>
        <v>#REF!</v>
      </c>
      <c r="F42" s="2" t="s">
        <v>56</v>
      </c>
      <c r="G42" s="7" t="str">
        <f t="shared" si="4"/>
        <v>29043.486</v>
      </c>
      <c r="H42" s="6">
        <f t="shared" si="5"/>
        <v>1006</v>
      </c>
      <c r="I42" s="23" t="s">
        <v>139</v>
      </c>
      <c r="J42" s="24" t="s">
        <v>140</v>
      </c>
      <c r="K42" s="23">
        <v>1006</v>
      </c>
      <c r="L42" s="23" t="s">
        <v>141</v>
      </c>
      <c r="M42" s="24" t="s">
        <v>62</v>
      </c>
      <c r="N42" s="24"/>
      <c r="O42" s="25" t="s">
        <v>63</v>
      </c>
      <c r="P42" s="25" t="s">
        <v>64</v>
      </c>
    </row>
    <row r="43" spans="1:16" ht="12.75" customHeight="1" thickBot="1" x14ac:dyDescent="0.25">
      <c r="A43" s="6" t="str">
        <f t="shared" si="0"/>
        <v> AOLD 20.190 </v>
      </c>
      <c r="B43" s="2" t="str">
        <f t="shared" si="1"/>
        <v>II</v>
      </c>
      <c r="C43" s="6">
        <f t="shared" si="2"/>
        <v>29106.514999999999</v>
      </c>
      <c r="D43" s="7" t="str">
        <f t="shared" si="3"/>
        <v>vis</v>
      </c>
      <c r="E43" s="22" t="e">
        <f>VLOOKUP(C43,#REF!,3,FALSE)</f>
        <v>#REF!</v>
      </c>
      <c r="F43" s="2" t="s">
        <v>56</v>
      </c>
      <c r="G43" s="7" t="str">
        <f t="shared" si="4"/>
        <v>29106.515</v>
      </c>
      <c r="H43" s="6">
        <f t="shared" si="5"/>
        <v>1061.5</v>
      </c>
      <c r="I43" s="23" t="s">
        <v>142</v>
      </c>
      <c r="J43" s="24" t="s">
        <v>143</v>
      </c>
      <c r="K43" s="23">
        <v>1061.5</v>
      </c>
      <c r="L43" s="23" t="s">
        <v>144</v>
      </c>
      <c r="M43" s="24" t="s">
        <v>62</v>
      </c>
      <c r="N43" s="24"/>
      <c r="O43" s="25" t="s">
        <v>63</v>
      </c>
      <c r="P43" s="25" t="s">
        <v>64</v>
      </c>
    </row>
    <row r="44" spans="1:16" ht="12.75" customHeight="1" thickBot="1" x14ac:dyDescent="0.25">
      <c r="A44" s="6" t="str">
        <f t="shared" si="0"/>
        <v> AOLD 20.190 </v>
      </c>
      <c r="B44" s="2" t="str">
        <f t="shared" si="1"/>
        <v>I</v>
      </c>
      <c r="C44" s="6">
        <f t="shared" si="2"/>
        <v>29397.54</v>
      </c>
      <c r="D44" s="7" t="str">
        <f t="shared" si="3"/>
        <v>vis</v>
      </c>
      <c r="E44" s="22" t="e">
        <f>VLOOKUP(C44,#REF!,3,FALSE)</f>
        <v>#REF!</v>
      </c>
      <c r="F44" s="2" t="s">
        <v>56</v>
      </c>
      <c r="G44" s="7" t="str">
        <f t="shared" si="4"/>
        <v>29397.540</v>
      </c>
      <c r="H44" s="6">
        <f t="shared" si="5"/>
        <v>1318</v>
      </c>
      <c r="I44" s="23" t="s">
        <v>145</v>
      </c>
      <c r="J44" s="24" t="s">
        <v>146</v>
      </c>
      <c r="K44" s="23">
        <v>1318</v>
      </c>
      <c r="L44" s="23" t="s">
        <v>147</v>
      </c>
      <c r="M44" s="24" t="s">
        <v>62</v>
      </c>
      <c r="N44" s="24"/>
      <c r="O44" s="25" t="s">
        <v>63</v>
      </c>
      <c r="P44" s="25" t="s">
        <v>64</v>
      </c>
    </row>
    <row r="45" spans="1:16" ht="12.75" customHeight="1" thickBot="1" x14ac:dyDescent="0.25">
      <c r="A45" s="6" t="str">
        <f t="shared" si="0"/>
        <v> AOLD 20.190 </v>
      </c>
      <c r="B45" s="2" t="str">
        <f t="shared" si="1"/>
        <v>II</v>
      </c>
      <c r="C45" s="6">
        <f t="shared" si="2"/>
        <v>29410.522000000001</v>
      </c>
      <c r="D45" s="7" t="str">
        <f t="shared" si="3"/>
        <v>vis</v>
      </c>
      <c r="E45" s="22" t="e">
        <f>VLOOKUP(C45,#REF!,3,FALSE)</f>
        <v>#REF!</v>
      </c>
      <c r="F45" s="2" t="s">
        <v>56</v>
      </c>
      <c r="G45" s="7" t="str">
        <f t="shared" si="4"/>
        <v>29410.522</v>
      </c>
      <c r="H45" s="6">
        <f t="shared" si="5"/>
        <v>1329.5</v>
      </c>
      <c r="I45" s="23" t="s">
        <v>148</v>
      </c>
      <c r="J45" s="24" t="s">
        <v>149</v>
      </c>
      <c r="K45" s="23">
        <v>1329.5</v>
      </c>
      <c r="L45" s="23" t="s">
        <v>70</v>
      </c>
      <c r="M45" s="24" t="s">
        <v>62</v>
      </c>
      <c r="N45" s="24"/>
      <c r="O45" s="25" t="s">
        <v>63</v>
      </c>
      <c r="P45" s="25" t="s">
        <v>64</v>
      </c>
    </row>
    <row r="46" spans="1:16" ht="12.75" customHeight="1" thickBot="1" x14ac:dyDescent="0.25">
      <c r="A46" s="6" t="str">
        <f t="shared" si="0"/>
        <v> AOLD 20.190 </v>
      </c>
      <c r="B46" s="2" t="str">
        <f t="shared" si="1"/>
        <v>I</v>
      </c>
      <c r="C46" s="6">
        <f t="shared" si="2"/>
        <v>29439.463</v>
      </c>
      <c r="D46" s="7" t="str">
        <f t="shared" si="3"/>
        <v>vis</v>
      </c>
      <c r="E46" s="22" t="e">
        <f>VLOOKUP(C46,#REF!,3,FALSE)</f>
        <v>#REF!</v>
      </c>
      <c r="F46" s="2" t="s">
        <v>56</v>
      </c>
      <c r="G46" s="7" t="str">
        <f t="shared" si="4"/>
        <v>29439.463</v>
      </c>
      <c r="H46" s="6">
        <f t="shared" si="5"/>
        <v>1355</v>
      </c>
      <c r="I46" s="23" t="s">
        <v>150</v>
      </c>
      <c r="J46" s="24" t="s">
        <v>151</v>
      </c>
      <c r="K46" s="23">
        <v>1355</v>
      </c>
      <c r="L46" s="23" t="s">
        <v>152</v>
      </c>
      <c r="M46" s="24" t="s">
        <v>62</v>
      </c>
      <c r="N46" s="24"/>
      <c r="O46" s="25" t="s">
        <v>63</v>
      </c>
      <c r="P46" s="25" t="s">
        <v>64</v>
      </c>
    </row>
    <row r="47" spans="1:16" ht="12.75" customHeight="1" thickBot="1" x14ac:dyDescent="0.25">
      <c r="A47" s="6" t="str">
        <f t="shared" si="0"/>
        <v> AOLD 20.190 </v>
      </c>
      <c r="B47" s="2" t="str">
        <f t="shared" si="1"/>
        <v>I</v>
      </c>
      <c r="C47" s="6">
        <f t="shared" si="2"/>
        <v>29464.437999999998</v>
      </c>
      <c r="D47" s="7" t="str">
        <f t="shared" si="3"/>
        <v>vis</v>
      </c>
      <c r="E47" s="22" t="e">
        <f>VLOOKUP(C47,#REF!,3,FALSE)</f>
        <v>#REF!</v>
      </c>
      <c r="F47" s="2" t="s">
        <v>56</v>
      </c>
      <c r="G47" s="7" t="str">
        <f t="shared" si="4"/>
        <v>29464.438</v>
      </c>
      <c r="H47" s="6">
        <f t="shared" si="5"/>
        <v>1377</v>
      </c>
      <c r="I47" s="23" t="s">
        <v>153</v>
      </c>
      <c r="J47" s="24" t="s">
        <v>154</v>
      </c>
      <c r="K47" s="23">
        <v>1377</v>
      </c>
      <c r="L47" s="23" t="s">
        <v>155</v>
      </c>
      <c r="M47" s="24" t="s">
        <v>62</v>
      </c>
      <c r="N47" s="24"/>
      <c r="O47" s="25" t="s">
        <v>63</v>
      </c>
      <c r="P47" s="25" t="s">
        <v>64</v>
      </c>
    </row>
    <row r="48" spans="1:16" ht="12.75" customHeight="1" thickBot="1" x14ac:dyDescent="0.25">
      <c r="A48" s="6" t="str">
        <f t="shared" si="0"/>
        <v> AOLD 20.190 </v>
      </c>
      <c r="B48" s="2" t="str">
        <f t="shared" si="1"/>
        <v>I</v>
      </c>
      <c r="C48" s="6">
        <f t="shared" si="2"/>
        <v>29479.232</v>
      </c>
      <c r="D48" s="7" t="str">
        <f t="shared" si="3"/>
        <v>vis</v>
      </c>
      <c r="E48" s="22" t="e">
        <f>VLOOKUP(C48,#REF!,3,FALSE)</f>
        <v>#REF!</v>
      </c>
      <c r="F48" s="2" t="s">
        <v>56</v>
      </c>
      <c r="G48" s="7" t="str">
        <f t="shared" si="4"/>
        <v>29479.232</v>
      </c>
      <c r="H48" s="6">
        <f t="shared" si="5"/>
        <v>1390</v>
      </c>
      <c r="I48" s="23" t="s">
        <v>156</v>
      </c>
      <c r="J48" s="24" t="s">
        <v>157</v>
      </c>
      <c r="K48" s="23">
        <v>1390</v>
      </c>
      <c r="L48" s="23" t="s">
        <v>97</v>
      </c>
      <c r="M48" s="24" t="s">
        <v>62</v>
      </c>
      <c r="N48" s="24"/>
      <c r="O48" s="25" t="s">
        <v>63</v>
      </c>
      <c r="P48" s="25" t="s">
        <v>64</v>
      </c>
    </row>
    <row r="49" spans="1:16" ht="12.75" customHeight="1" thickBot="1" x14ac:dyDescent="0.25">
      <c r="A49" s="6" t="str">
        <f t="shared" si="0"/>
        <v> AOLD 20.190 </v>
      </c>
      <c r="B49" s="2" t="str">
        <f t="shared" si="1"/>
        <v>I</v>
      </c>
      <c r="C49" s="6">
        <f t="shared" si="2"/>
        <v>29480.309000000001</v>
      </c>
      <c r="D49" s="7" t="str">
        <f t="shared" si="3"/>
        <v>vis</v>
      </c>
      <c r="E49" s="22" t="e">
        <f>VLOOKUP(C49,#REF!,3,FALSE)</f>
        <v>#REF!</v>
      </c>
      <c r="F49" s="2" t="s">
        <v>56</v>
      </c>
      <c r="G49" s="7" t="str">
        <f t="shared" si="4"/>
        <v>29480.309</v>
      </c>
      <c r="H49" s="6">
        <f t="shared" si="5"/>
        <v>1391</v>
      </c>
      <c r="I49" s="23" t="s">
        <v>158</v>
      </c>
      <c r="J49" s="24" t="s">
        <v>159</v>
      </c>
      <c r="K49" s="23">
        <v>1391</v>
      </c>
      <c r="L49" s="23" t="s">
        <v>106</v>
      </c>
      <c r="M49" s="24" t="s">
        <v>62</v>
      </c>
      <c r="N49" s="24"/>
      <c r="O49" s="25" t="s">
        <v>63</v>
      </c>
      <c r="P49" s="25" t="s">
        <v>64</v>
      </c>
    </row>
    <row r="50" spans="1:16" ht="12.75" customHeight="1" thickBot="1" x14ac:dyDescent="0.25">
      <c r="A50" s="6" t="str">
        <f t="shared" si="0"/>
        <v> AOLD 20.190 </v>
      </c>
      <c r="B50" s="2" t="str">
        <f t="shared" si="1"/>
        <v>II</v>
      </c>
      <c r="C50" s="6">
        <f t="shared" si="2"/>
        <v>29484.319</v>
      </c>
      <c r="D50" s="7" t="str">
        <f t="shared" si="3"/>
        <v>vis</v>
      </c>
      <c r="E50" s="22" t="e">
        <f>VLOOKUP(C50,#REF!,3,FALSE)</f>
        <v>#REF!</v>
      </c>
      <c r="F50" s="2" t="s">
        <v>56</v>
      </c>
      <c r="G50" s="7" t="str">
        <f t="shared" si="4"/>
        <v>29484.319</v>
      </c>
      <c r="H50" s="6">
        <f t="shared" si="5"/>
        <v>1394.5</v>
      </c>
      <c r="I50" s="23" t="s">
        <v>160</v>
      </c>
      <c r="J50" s="24" t="s">
        <v>161</v>
      </c>
      <c r="K50" s="23">
        <v>1394.5</v>
      </c>
      <c r="L50" s="23" t="s">
        <v>162</v>
      </c>
      <c r="M50" s="24" t="s">
        <v>62</v>
      </c>
      <c r="N50" s="24"/>
      <c r="O50" s="25" t="s">
        <v>63</v>
      </c>
      <c r="P50" s="25" t="s">
        <v>64</v>
      </c>
    </row>
    <row r="51" spans="1:16" ht="12.75" customHeight="1" thickBot="1" x14ac:dyDescent="0.25">
      <c r="A51" s="6" t="str">
        <f t="shared" si="0"/>
        <v> AOLD 20.190 </v>
      </c>
      <c r="B51" s="2" t="str">
        <f t="shared" si="1"/>
        <v>I</v>
      </c>
      <c r="C51" s="6">
        <f t="shared" si="2"/>
        <v>29488.305</v>
      </c>
      <c r="D51" s="7" t="str">
        <f t="shared" si="3"/>
        <v>vis</v>
      </c>
      <c r="E51" s="22" t="e">
        <f>VLOOKUP(C51,#REF!,3,FALSE)</f>
        <v>#REF!</v>
      </c>
      <c r="F51" s="2" t="s">
        <v>56</v>
      </c>
      <c r="G51" s="7" t="str">
        <f t="shared" si="4"/>
        <v>29488.305</v>
      </c>
      <c r="H51" s="6">
        <f t="shared" si="5"/>
        <v>1398</v>
      </c>
      <c r="I51" s="23" t="s">
        <v>163</v>
      </c>
      <c r="J51" s="24" t="s">
        <v>164</v>
      </c>
      <c r="K51" s="23">
        <v>1398</v>
      </c>
      <c r="L51" s="23" t="s">
        <v>88</v>
      </c>
      <c r="M51" s="24" t="s">
        <v>62</v>
      </c>
      <c r="N51" s="24"/>
      <c r="O51" s="25" t="s">
        <v>63</v>
      </c>
      <c r="P51" s="25" t="s">
        <v>64</v>
      </c>
    </row>
    <row r="52" spans="1:16" ht="12.75" customHeight="1" thickBot="1" x14ac:dyDescent="0.25">
      <c r="A52" s="6" t="str">
        <f t="shared" si="0"/>
        <v> AOLD 20.190 </v>
      </c>
      <c r="B52" s="2" t="str">
        <f t="shared" si="1"/>
        <v>II</v>
      </c>
      <c r="C52" s="6">
        <f t="shared" si="2"/>
        <v>29492.328000000001</v>
      </c>
      <c r="D52" s="7" t="str">
        <f t="shared" si="3"/>
        <v>vis</v>
      </c>
      <c r="E52" s="22" t="e">
        <f>VLOOKUP(C52,#REF!,3,FALSE)</f>
        <v>#REF!</v>
      </c>
      <c r="F52" s="2" t="s">
        <v>56</v>
      </c>
      <c r="G52" s="7" t="str">
        <f t="shared" si="4"/>
        <v>29492.328</v>
      </c>
      <c r="H52" s="6">
        <f t="shared" si="5"/>
        <v>1401.5</v>
      </c>
      <c r="I52" s="23" t="s">
        <v>165</v>
      </c>
      <c r="J52" s="24" t="s">
        <v>166</v>
      </c>
      <c r="K52" s="23">
        <v>1401.5</v>
      </c>
      <c r="L52" s="23" t="s">
        <v>167</v>
      </c>
      <c r="M52" s="24" t="s">
        <v>62</v>
      </c>
      <c r="N52" s="24"/>
      <c r="O52" s="25" t="s">
        <v>63</v>
      </c>
      <c r="P52" s="25" t="s">
        <v>64</v>
      </c>
    </row>
    <row r="53" spans="1:16" ht="12.75" customHeight="1" thickBot="1" x14ac:dyDescent="0.25">
      <c r="A53" s="6" t="str">
        <f t="shared" si="0"/>
        <v> AOLD 20.190 </v>
      </c>
      <c r="B53" s="2" t="str">
        <f t="shared" si="1"/>
        <v>I</v>
      </c>
      <c r="C53" s="6">
        <f t="shared" si="2"/>
        <v>29514.333999999999</v>
      </c>
      <c r="D53" s="7" t="str">
        <f t="shared" si="3"/>
        <v>vis</v>
      </c>
      <c r="E53" s="22" t="e">
        <f>VLOOKUP(C53,#REF!,3,FALSE)</f>
        <v>#REF!</v>
      </c>
      <c r="F53" s="2" t="s">
        <v>56</v>
      </c>
      <c r="G53" s="7" t="str">
        <f t="shared" si="4"/>
        <v>29514.334</v>
      </c>
      <c r="H53" s="6">
        <f t="shared" si="5"/>
        <v>1421</v>
      </c>
      <c r="I53" s="23" t="s">
        <v>168</v>
      </c>
      <c r="J53" s="24" t="s">
        <v>169</v>
      </c>
      <c r="K53" s="23">
        <v>1421</v>
      </c>
      <c r="L53" s="23" t="s">
        <v>170</v>
      </c>
      <c r="M53" s="24" t="s">
        <v>62</v>
      </c>
      <c r="N53" s="24"/>
      <c r="O53" s="25" t="s">
        <v>63</v>
      </c>
      <c r="P53" s="25" t="s">
        <v>64</v>
      </c>
    </row>
    <row r="54" spans="1:16" ht="12.75" customHeight="1" thickBot="1" x14ac:dyDescent="0.25">
      <c r="A54" s="6" t="str">
        <f t="shared" si="0"/>
        <v> AOLD 20.190 </v>
      </c>
      <c r="B54" s="2" t="str">
        <f t="shared" si="1"/>
        <v>II</v>
      </c>
      <c r="C54" s="6">
        <f t="shared" si="2"/>
        <v>29551.244999999999</v>
      </c>
      <c r="D54" s="7" t="str">
        <f t="shared" si="3"/>
        <v>vis</v>
      </c>
      <c r="E54" s="22" t="e">
        <f>VLOOKUP(C54,#REF!,3,FALSE)</f>
        <v>#REF!</v>
      </c>
      <c r="F54" s="2" t="s">
        <v>56</v>
      </c>
      <c r="G54" s="7" t="str">
        <f t="shared" si="4"/>
        <v>29551.245</v>
      </c>
      <c r="H54" s="6">
        <f t="shared" si="5"/>
        <v>1453.5</v>
      </c>
      <c r="I54" s="23" t="s">
        <v>171</v>
      </c>
      <c r="J54" s="24" t="s">
        <v>172</v>
      </c>
      <c r="K54" s="23">
        <v>1453.5</v>
      </c>
      <c r="L54" s="23" t="s">
        <v>58</v>
      </c>
      <c r="M54" s="24" t="s">
        <v>62</v>
      </c>
      <c r="N54" s="24"/>
      <c r="O54" s="25" t="s">
        <v>63</v>
      </c>
      <c r="P54" s="25" t="s">
        <v>64</v>
      </c>
    </row>
    <row r="55" spans="1:16" ht="12.75" customHeight="1" thickBot="1" x14ac:dyDescent="0.25">
      <c r="A55" s="6" t="str">
        <f t="shared" si="0"/>
        <v> AOLD 20.190 </v>
      </c>
      <c r="B55" s="2" t="str">
        <f t="shared" si="1"/>
        <v>II</v>
      </c>
      <c r="C55" s="6">
        <f t="shared" si="2"/>
        <v>29551.267</v>
      </c>
      <c r="D55" s="7" t="str">
        <f t="shared" si="3"/>
        <v>vis</v>
      </c>
      <c r="E55" s="22" t="e">
        <f>VLOOKUP(C55,#REF!,3,FALSE)</f>
        <v>#REF!</v>
      </c>
      <c r="F55" s="2" t="s">
        <v>56</v>
      </c>
      <c r="G55" s="7" t="str">
        <f t="shared" si="4"/>
        <v>29551.267</v>
      </c>
      <c r="H55" s="6">
        <f t="shared" si="5"/>
        <v>1453.5</v>
      </c>
      <c r="I55" s="23" t="s">
        <v>173</v>
      </c>
      <c r="J55" s="24" t="s">
        <v>174</v>
      </c>
      <c r="K55" s="23">
        <v>1453.5</v>
      </c>
      <c r="L55" s="23" t="s">
        <v>112</v>
      </c>
      <c r="M55" s="24" t="s">
        <v>62</v>
      </c>
      <c r="N55" s="24"/>
      <c r="O55" s="25" t="s">
        <v>63</v>
      </c>
      <c r="P55" s="25" t="s">
        <v>64</v>
      </c>
    </row>
    <row r="56" spans="1:16" x14ac:dyDescent="0.2">
      <c r="B56" s="2"/>
      <c r="E56" s="22"/>
      <c r="F56" s="2"/>
    </row>
    <row r="57" spans="1:16" x14ac:dyDescent="0.2">
      <c r="B57" s="2"/>
      <c r="E57" s="22"/>
      <c r="F57" s="2"/>
    </row>
    <row r="58" spans="1:16" x14ac:dyDescent="0.2">
      <c r="B58" s="2"/>
      <c r="E58" s="22"/>
      <c r="F58" s="2"/>
    </row>
    <row r="59" spans="1:16" x14ac:dyDescent="0.2">
      <c r="B59" s="2"/>
      <c r="E59" s="22"/>
      <c r="F59" s="2"/>
    </row>
    <row r="60" spans="1:16" x14ac:dyDescent="0.2">
      <c r="B60" s="2"/>
      <c r="E60" s="22"/>
      <c r="F60" s="2"/>
    </row>
    <row r="61" spans="1:16" x14ac:dyDescent="0.2">
      <c r="B61" s="2"/>
      <c r="E61" s="22"/>
      <c r="F61" s="2"/>
    </row>
    <row r="62" spans="1:16" x14ac:dyDescent="0.2">
      <c r="B62" s="2"/>
      <c r="E62" s="22"/>
      <c r="F62" s="2"/>
    </row>
    <row r="63" spans="1:16" x14ac:dyDescent="0.2">
      <c r="B63" s="2"/>
      <c r="E63" s="22"/>
      <c r="F63" s="2"/>
    </row>
    <row r="64" spans="1:16" x14ac:dyDescent="0.2">
      <c r="B64" s="2"/>
      <c r="E64" s="22"/>
      <c r="F64" s="2"/>
    </row>
    <row r="65" spans="2:6" x14ac:dyDescent="0.2">
      <c r="B65" s="2"/>
      <c r="E65" s="22"/>
      <c r="F65" s="2"/>
    </row>
    <row r="66" spans="2:6" x14ac:dyDescent="0.2">
      <c r="B66" s="2"/>
      <c r="E66" s="22"/>
      <c r="F66" s="2"/>
    </row>
    <row r="67" spans="2:6" x14ac:dyDescent="0.2">
      <c r="B67" s="2"/>
      <c r="E67" s="22"/>
      <c r="F67" s="2"/>
    </row>
    <row r="68" spans="2:6" x14ac:dyDescent="0.2">
      <c r="B68" s="2"/>
      <c r="E68" s="22"/>
      <c r="F68" s="2"/>
    </row>
    <row r="69" spans="2:6" x14ac:dyDescent="0.2">
      <c r="B69" s="2"/>
      <c r="E69" s="22"/>
      <c r="F69" s="2"/>
    </row>
    <row r="70" spans="2:6" x14ac:dyDescent="0.2">
      <c r="B70" s="2"/>
      <c r="E70" s="2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  <row r="851" spans="2:6" x14ac:dyDescent="0.2">
      <c r="B851" s="2"/>
      <c r="F851" s="2"/>
    </row>
    <row r="852" spans="2:6" x14ac:dyDescent="0.2">
      <c r="B852" s="2"/>
      <c r="F852" s="2"/>
    </row>
    <row r="853" spans="2:6" x14ac:dyDescent="0.2">
      <c r="B853" s="2"/>
      <c r="F853" s="2"/>
    </row>
    <row r="854" spans="2:6" x14ac:dyDescent="0.2">
      <c r="B854" s="2"/>
      <c r="F854" s="2"/>
    </row>
    <row r="855" spans="2:6" x14ac:dyDescent="0.2">
      <c r="B855" s="2"/>
      <c r="F855" s="2"/>
    </row>
    <row r="856" spans="2:6" x14ac:dyDescent="0.2">
      <c r="B856" s="2"/>
      <c r="F856" s="2"/>
    </row>
    <row r="857" spans="2:6" x14ac:dyDescent="0.2">
      <c r="B857" s="2"/>
      <c r="F857" s="2"/>
    </row>
    <row r="858" spans="2:6" x14ac:dyDescent="0.2">
      <c r="B858" s="2"/>
      <c r="F858" s="2"/>
    </row>
  </sheetData>
  <phoneticPr fontId="7" type="noConversion"/>
  <hyperlinks>
    <hyperlink ref="P13" r:id="rId1" display="http://www.konkoly.hu/cgi-bin/IBVS?5690"/>
    <hyperlink ref="P14" r:id="rId2" display="http://var.astro.cz/oejv/issues/oejv0116.pdf"/>
    <hyperlink ref="P15" r:id="rId3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2024-03-05T05:50:55Z</dcterms:modified>
</cp:coreProperties>
</file>