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EFD6231-9A37-42FD-B675-2846157BA65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BAV" sheetId="3" r:id="rId2"/>
  </sheets>
  <calcPr calcId="181029"/>
</workbook>
</file>

<file path=xl/calcChain.xml><?xml version="1.0" encoding="utf-8"?>
<calcChain xmlns="http://schemas.openxmlformats.org/spreadsheetml/2006/main">
  <c r="Q36" i="2" l="1"/>
  <c r="Q37" i="2"/>
  <c r="Q38" i="2"/>
  <c r="Q40" i="2"/>
  <c r="G16" i="3"/>
  <c r="C16" i="3"/>
  <c r="G20" i="3"/>
  <c r="C20" i="3"/>
  <c r="G15" i="3"/>
  <c r="C15" i="3"/>
  <c r="G19" i="3"/>
  <c r="C19" i="3"/>
  <c r="G18" i="3"/>
  <c r="C18" i="3"/>
  <c r="G17" i="3"/>
  <c r="C17" i="3"/>
  <c r="E17" i="3"/>
  <c r="G14" i="3"/>
  <c r="C14" i="3"/>
  <c r="G13" i="3"/>
  <c r="C13" i="3"/>
  <c r="G12" i="3"/>
  <c r="C12" i="3"/>
  <c r="G11" i="3"/>
  <c r="C11" i="3"/>
  <c r="H16" i="3"/>
  <c r="D16" i="3"/>
  <c r="B16" i="3"/>
  <c r="A16" i="3"/>
  <c r="H20" i="3"/>
  <c r="D20" i="3"/>
  <c r="B20" i="3"/>
  <c r="A20" i="3"/>
  <c r="H15" i="3"/>
  <c r="D15" i="3"/>
  <c r="B15" i="3"/>
  <c r="A15" i="3"/>
  <c r="H19" i="3"/>
  <c r="D19" i="3"/>
  <c r="B19" i="3"/>
  <c r="A19" i="3"/>
  <c r="H18" i="3"/>
  <c r="D18" i="3"/>
  <c r="B18" i="3"/>
  <c r="A18" i="3"/>
  <c r="H17" i="3"/>
  <c r="D17" i="3"/>
  <c r="B17" i="3"/>
  <c r="A17" i="3"/>
  <c r="H14" i="3"/>
  <c r="D14" i="3"/>
  <c r="B14" i="3"/>
  <c r="A14" i="3"/>
  <c r="H13" i="3"/>
  <c r="D13" i="3"/>
  <c r="B13" i="3"/>
  <c r="A13" i="3"/>
  <c r="H12" i="3"/>
  <c r="D12" i="3"/>
  <c r="B12" i="3"/>
  <c r="A12" i="3"/>
  <c r="H11" i="3"/>
  <c r="D11" i="3"/>
  <c r="B11" i="3"/>
  <c r="A11" i="3"/>
  <c r="F11" i="2"/>
  <c r="Q32" i="2"/>
  <c r="G11" i="2"/>
  <c r="E14" i="2"/>
  <c r="C17" i="2"/>
  <c r="Q41" i="2"/>
  <c r="C7" i="2"/>
  <c r="E36" i="2"/>
  <c r="F36" i="2"/>
  <c r="C8" i="2"/>
  <c r="Q21" i="2"/>
  <c r="Q22" i="2"/>
  <c r="Q23" i="2"/>
  <c r="Q24" i="2"/>
  <c r="Q25" i="2"/>
  <c r="Q26" i="2"/>
  <c r="Q27" i="2"/>
  <c r="Q28" i="2"/>
  <c r="Q29" i="2"/>
  <c r="Q30" i="2"/>
  <c r="Q31" i="2"/>
  <c r="Q33" i="2"/>
  <c r="Q34" i="2"/>
  <c r="Q35" i="2"/>
  <c r="Q39" i="2"/>
  <c r="E18" i="3"/>
  <c r="E12" i="3"/>
  <c r="E20" i="3"/>
  <c r="G41" i="2"/>
  <c r="J41" i="2"/>
  <c r="E35" i="2"/>
  <c r="F35" i="2"/>
  <c r="G35" i="2"/>
  <c r="J35" i="2"/>
  <c r="E27" i="2"/>
  <c r="F27" i="2"/>
  <c r="E38" i="2"/>
  <c r="F38" i="2"/>
  <c r="G38" i="2"/>
  <c r="J38" i="2"/>
  <c r="E32" i="2"/>
  <c r="F32" i="2"/>
  <c r="G26" i="2"/>
  <c r="I26" i="2"/>
  <c r="E24" i="2"/>
  <c r="F24" i="2"/>
  <c r="G24" i="2"/>
  <c r="I24" i="2"/>
  <c r="E41" i="2"/>
  <c r="F41" i="2"/>
  <c r="G31" i="2"/>
  <c r="J31" i="2"/>
  <c r="E29" i="2"/>
  <c r="F29" i="2"/>
  <c r="G29" i="2"/>
  <c r="I29" i="2"/>
  <c r="G23" i="2"/>
  <c r="I23" i="2"/>
  <c r="E21" i="2"/>
  <c r="F21" i="2"/>
  <c r="G21" i="2"/>
  <c r="G39" i="2"/>
  <c r="J39" i="2"/>
  <c r="E34" i="2"/>
  <c r="F34" i="2"/>
  <c r="G34" i="2"/>
  <c r="J34" i="2"/>
  <c r="G28" i="2"/>
  <c r="I28" i="2"/>
  <c r="E26" i="2"/>
  <c r="F26" i="2"/>
  <c r="G40" i="2"/>
  <c r="J40" i="2"/>
  <c r="E37" i="2"/>
  <c r="F37" i="2"/>
  <c r="G37" i="2"/>
  <c r="J37" i="2"/>
  <c r="E31" i="2"/>
  <c r="F31" i="2"/>
  <c r="G25" i="2"/>
  <c r="I25" i="2"/>
  <c r="E23" i="2"/>
  <c r="F23" i="2"/>
  <c r="E39" i="2"/>
  <c r="F39" i="2"/>
  <c r="E28" i="2"/>
  <c r="F28" i="2"/>
  <c r="G22" i="2"/>
  <c r="I22" i="2"/>
  <c r="E40" i="2"/>
  <c r="F40" i="2"/>
  <c r="G36" i="2"/>
  <c r="J36" i="2"/>
  <c r="E33" i="2"/>
  <c r="F33" i="2"/>
  <c r="G33" i="2"/>
  <c r="J33" i="2"/>
  <c r="G27" i="2"/>
  <c r="I27" i="2"/>
  <c r="E25" i="2"/>
  <c r="F25" i="2"/>
  <c r="G32" i="2"/>
  <c r="J32" i="2"/>
  <c r="E30" i="2"/>
  <c r="F30" i="2"/>
  <c r="G30" i="2"/>
  <c r="J30" i="2"/>
  <c r="E22" i="2"/>
  <c r="F22" i="2"/>
  <c r="H21" i="2"/>
  <c r="E16" i="3"/>
  <c r="E11" i="3"/>
  <c r="E14" i="3"/>
  <c r="E15" i="3"/>
  <c r="E13" i="3"/>
  <c r="E19" i="3"/>
  <c r="C12" i="2"/>
  <c r="C11" i="2"/>
  <c r="O23" i="2" l="1"/>
  <c r="O28" i="2"/>
  <c r="O38" i="2"/>
  <c r="O40" i="2"/>
  <c r="O31" i="2"/>
  <c r="O29" i="2"/>
  <c r="O30" i="2"/>
  <c r="O22" i="2"/>
  <c r="O27" i="2"/>
  <c r="O35" i="2"/>
  <c r="O33" i="2"/>
  <c r="O37" i="2"/>
  <c r="C15" i="2"/>
  <c r="E16" i="2" s="1"/>
  <c r="O26" i="2"/>
  <c r="O34" i="2"/>
  <c r="O21" i="2"/>
  <c r="O39" i="2"/>
  <c r="O25" i="2"/>
  <c r="O36" i="2"/>
  <c r="O41" i="2"/>
  <c r="O24" i="2"/>
  <c r="O32" i="2"/>
  <c r="C16" i="2"/>
  <c r="D18" i="2" s="1"/>
  <c r="E15" i="2"/>
  <c r="C18" i="2" l="1"/>
  <c r="E17" i="2"/>
</calcChain>
</file>

<file path=xl/sharedStrings.xml><?xml version="1.0" encoding="utf-8"?>
<sst xmlns="http://schemas.openxmlformats.org/spreadsheetml/2006/main" count="191" uniqueCount="112">
  <si>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</si>
  <si>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</si>
  <si>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</si>
  <si>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</si>
  <si>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</si>
  <si>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</si>
  <si>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</si>
  <si>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</si>
  <si>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</si>
  <si>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</si>
  <si>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</si>
  <si>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</si>
  <si>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</si>
  <si>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</si>
  <si>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</si>
  <si>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</si>
  <si>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</si>
  <si>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</si>
  <si>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</si>
  <si>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</si>
  <si>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</si>
  <si>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</si>
  <si>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</si>
  <si>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</si>
  <si>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</si>
  <si>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</si>
  <si>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</si>
  <si>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</si>
  <si>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</si>
  <si>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Bull.80</t>
  </si>
  <si>
    <t>B</t>
  </si>
  <si>
    <t>BBSAG Bull.81</t>
  </si>
  <si>
    <t>BBSAG Bull.83</t>
  </si>
  <si>
    <t>BBSAG Bull.85</t>
  </si>
  <si>
    <t>BBSAG Bull.88</t>
  </si>
  <si>
    <t>BBSAG Bull.89</t>
  </si>
  <si>
    <t>BBSAG Bull.92</t>
  </si>
  <si>
    <t>II</t>
  </si>
  <si>
    <t>IBVS 5364</t>
  </si>
  <si>
    <t>I</t>
  </si>
  <si>
    <t>IBVS 5583</t>
  </si>
  <si>
    <t>EW/KW</t>
  </si>
  <si>
    <t>IBVS 5690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</si>
  <si>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</si>
  <si>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</si>
  <si>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</si>
  <si>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</si>
  <si>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</si>
  <si>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</si>
  <si>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</si>
  <si>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5945</t>
  </si>
  <si>
    <t>Start of linear fit &gt;&gt;&gt;&gt;&gt;&gt;&gt;&gt;&gt;&gt;&gt;&gt;&gt;&gt;&gt;&gt;&gt;&gt;&gt;&gt;&gt;</t>
  </si>
  <si>
    <t>Add cycle</t>
  </si>
  <si>
    <t>Old Cycle</t>
  </si>
  <si>
    <t>FG Sct / GSC 5126-0338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</si>
  <si>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</si>
  <si>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</si>
  <si>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</si>
  <si>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</si>
  <si>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</si>
  <si>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</si>
  <si>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</si>
  <si>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</si>
  <si>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</si>
  <si>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</si>
  <si>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</si>
  <si>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2452440.4349 </t>
  </si>
  <si>
    <t> 14.06.2002 22:26 </t>
  </si>
  <si>
    <t> 0.0110 </t>
  </si>
  <si>
    <t>E </t>
  </si>
  <si>
    <t>R</t>
  </si>
  <si>
    <t> M.Zejda </t>
  </si>
  <si>
    <t>IBVS 5583 </t>
  </si>
  <si>
    <t>2452472.3579 </t>
  </si>
  <si>
    <t> 16.07.2002 20:35 </t>
  </si>
  <si>
    <t> 0.0093 </t>
  </si>
  <si>
    <t>?</t>
  </si>
  <si>
    <t> O.Demircan et al. </t>
  </si>
  <si>
    <t>IBVS 5364 </t>
  </si>
  <si>
    <t>2452472.4943 </t>
  </si>
  <si>
    <t> 16.07.2002 23:51 </t>
  </si>
  <si>
    <t> 0.0104 </t>
  </si>
  <si>
    <t>2452524.3125 </t>
  </si>
  <si>
    <t> 06.09.2002 19:30 </t>
  </si>
  <si>
    <t> 0.0187 </t>
  </si>
  <si>
    <t>2453224.4151 </t>
  </si>
  <si>
    <t> 06.08.2004 21:57 </t>
  </si>
  <si>
    <t> 0.0783 </t>
  </si>
  <si>
    <t> M. Zejda et al. </t>
  </si>
  <si>
    <t>IBVS 5741 </t>
  </si>
  <si>
    <t>2453228.3381 </t>
  </si>
  <si>
    <t> 10.08.2004 20:06 </t>
  </si>
  <si>
    <t> -0.0569 </t>
  </si>
  <si>
    <t>2453228.4735 </t>
  </si>
  <si>
    <t> 10.08.2004 23:21 </t>
  </si>
  <si>
    <t> 0.0785 </t>
  </si>
  <si>
    <t>2453528.9414 </t>
  </si>
  <si>
    <t> 07.06.2005 10:35 </t>
  </si>
  <si>
    <t> -0.0324 </t>
  </si>
  <si>
    <t> T. Krajci </t>
  </si>
  <si>
    <t>IBVS 5690 </t>
  </si>
  <si>
    <t>2454593.2328 </t>
  </si>
  <si>
    <t> 06.05.2008 17:35 </t>
  </si>
  <si>
    <t> -0.0769 </t>
  </si>
  <si>
    <t>C </t>
  </si>
  <si>
    <t> K.Nakajima </t>
  </si>
  <si>
    <t>VSB 48 </t>
  </si>
  <si>
    <t>2455340.8212 </t>
  </si>
  <si>
    <t> 24.05.2010 07:42 </t>
  </si>
  <si>
    <t> -0.0126 </t>
  </si>
  <si>
    <t> R.Diethelm </t>
  </si>
  <si>
    <t>IBVS 5945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</si>
</sst>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6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1" xfId="0" applyBorder="1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>
      <alignment vertical="top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1" fillId="2" borderId="1" xfId="0" applyFont="1" applyFill="1" applyBorder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8" fillId="3" borderId="12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8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FG Sct - O-C Diagr.</a:t>
            </a:r>
          </a:p>
        </c:rich>
      </c:tx>
      <c:layout>
        <c:manualLayout>
          <c:xMode val="edge"/>
          <c:yMode val="edge"/>
          <c:x val="0.34710787184659769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39909073865766"/>
          <c:y val="0.10421636421660822"/>
          <c:w val="0.8055522356580429"/>
          <c:h val="0.6690767637319345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6984</c:v>
                </c:pt>
                <c:pt idx="2">
                  <c:v>7212.5</c:v>
                </c:pt>
                <c:pt idx="3">
                  <c:v>7971.5</c:v>
                </c:pt>
                <c:pt idx="4">
                  <c:v>8115.5</c:v>
                </c:pt>
                <c:pt idx="5">
                  <c:v>9394.5</c:v>
                </c:pt>
                <c:pt idx="6">
                  <c:v>9612.5</c:v>
                </c:pt>
                <c:pt idx="7">
                  <c:v>11068.5</c:v>
                </c:pt>
                <c:pt idx="8">
                  <c:v>11071.5</c:v>
                </c:pt>
                <c:pt idx="9">
                  <c:v>28415</c:v>
                </c:pt>
                <c:pt idx="10">
                  <c:v>28533</c:v>
                </c:pt>
                <c:pt idx="11">
                  <c:v>28533.5</c:v>
                </c:pt>
                <c:pt idx="12">
                  <c:v>28684.5</c:v>
                </c:pt>
                <c:pt idx="13">
                  <c:v>28725</c:v>
                </c:pt>
                <c:pt idx="14">
                  <c:v>28725</c:v>
                </c:pt>
                <c:pt idx="15">
                  <c:v>31313</c:v>
                </c:pt>
                <c:pt idx="16">
                  <c:v>31327.5</c:v>
                </c:pt>
                <c:pt idx="17">
                  <c:v>31328</c:v>
                </c:pt>
                <c:pt idx="18">
                  <c:v>32438.5</c:v>
                </c:pt>
                <c:pt idx="19">
                  <c:v>36372</c:v>
                </c:pt>
                <c:pt idx="20">
                  <c:v>39135.5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C0-42A5-9D5A-889BC88235E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9">
                    <c:v>4.7000000000000002E-3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2.2000000000000001E-3</c:v>
                  </c:pt>
                  <c:pt idx="14">
                    <c:v>2.3E-3</c:v>
                  </c:pt>
                  <c:pt idx="18">
                    <c:v>1E-4</c:v>
                  </c:pt>
                  <c:pt idx="20">
                    <c:v>2.9999999999999997E-4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9">
                    <c:v>4.7000000000000002E-3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2.2000000000000001E-3</c:v>
                  </c:pt>
                  <c:pt idx="14">
                    <c:v>2.3E-3</c:v>
                  </c:pt>
                  <c:pt idx="18">
                    <c:v>1E-4</c:v>
                  </c:pt>
                  <c:pt idx="2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6984</c:v>
                </c:pt>
                <c:pt idx="2">
                  <c:v>7212.5</c:v>
                </c:pt>
                <c:pt idx="3">
                  <c:v>7971.5</c:v>
                </c:pt>
                <c:pt idx="4">
                  <c:v>8115.5</c:v>
                </c:pt>
                <c:pt idx="5">
                  <c:v>9394.5</c:v>
                </c:pt>
                <c:pt idx="6">
                  <c:v>9612.5</c:v>
                </c:pt>
                <c:pt idx="7">
                  <c:v>11068.5</c:v>
                </c:pt>
                <c:pt idx="8">
                  <c:v>11071.5</c:v>
                </c:pt>
                <c:pt idx="9">
                  <c:v>28415</c:v>
                </c:pt>
                <c:pt idx="10">
                  <c:v>28533</c:v>
                </c:pt>
                <c:pt idx="11">
                  <c:v>28533.5</c:v>
                </c:pt>
                <c:pt idx="12">
                  <c:v>28684.5</c:v>
                </c:pt>
                <c:pt idx="13">
                  <c:v>28725</c:v>
                </c:pt>
                <c:pt idx="14">
                  <c:v>28725</c:v>
                </c:pt>
                <c:pt idx="15">
                  <c:v>31313</c:v>
                </c:pt>
                <c:pt idx="16">
                  <c:v>31327.5</c:v>
                </c:pt>
                <c:pt idx="17">
                  <c:v>31328</c:v>
                </c:pt>
                <c:pt idx="18">
                  <c:v>32438.5</c:v>
                </c:pt>
                <c:pt idx="19">
                  <c:v>36372</c:v>
                </c:pt>
                <c:pt idx="20">
                  <c:v>39135.5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1">
                  <c:v>2.7967999994871207E-2</c:v>
                </c:pt>
                <c:pt idx="2">
                  <c:v>5.0750000002153683E-2</c:v>
                </c:pt>
                <c:pt idx="3">
                  <c:v>-6.1181999997643288E-2</c:v>
                </c:pt>
                <c:pt idx="4">
                  <c:v>-5.1094000002194662E-2</c:v>
                </c:pt>
                <c:pt idx="5">
                  <c:v>-4.7985999997763429E-2</c:v>
                </c:pt>
                <c:pt idx="6">
                  <c:v>-3.2449999998789281E-2</c:v>
                </c:pt>
                <c:pt idx="7">
                  <c:v>3.6620000028051436E-3</c:v>
                </c:pt>
                <c:pt idx="8">
                  <c:v>1.0018000000854954E-2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C0-42A5-9D5A-889BC88235E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9">
                    <c:v>4.7000000000000002E-3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2.2000000000000001E-3</c:v>
                  </c:pt>
                  <c:pt idx="14">
                    <c:v>2.3E-3</c:v>
                  </c:pt>
                  <c:pt idx="18">
                    <c:v>1E-4</c:v>
                  </c:pt>
                  <c:pt idx="20">
                    <c:v>2.9999999999999997E-4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9">
                    <c:v>4.7000000000000002E-3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2.2000000000000001E-3</c:v>
                  </c:pt>
                  <c:pt idx="14">
                    <c:v>2.3E-3</c:v>
                  </c:pt>
                  <c:pt idx="18">
                    <c:v>1E-4</c:v>
                  </c:pt>
                  <c:pt idx="2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6984</c:v>
                </c:pt>
                <c:pt idx="2">
                  <c:v>7212.5</c:v>
                </c:pt>
                <c:pt idx="3">
                  <c:v>7971.5</c:v>
                </c:pt>
                <c:pt idx="4">
                  <c:v>8115.5</c:v>
                </c:pt>
                <c:pt idx="5">
                  <c:v>9394.5</c:v>
                </c:pt>
                <c:pt idx="6">
                  <c:v>9612.5</c:v>
                </c:pt>
                <c:pt idx="7">
                  <c:v>11068.5</c:v>
                </c:pt>
                <c:pt idx="8">
                  <c:v>11071.5</c:v>
                </c:pt>
                <c:pt idx="9">
                  <c:v>28415</c:v>
                </c:pt>
                <c:pt idx="10">
                  <c:v>28533</c:v>
                </c:pt>
                <c:pt idx="11">
                  <c:v>28533.5</c:v>
                </c:pt>
                <c:pt idx="12">
                  <c:v>28684.5</c:v>
                </c:pt>
                <c:pt idx="13">
                  <c:v>28725</c:v>
                </c:pt>
                <c:pt idx="14">
                  <c:v>28725</c:v>
                </c:pt>
                <c:pt idx="15">
                  <c:v>31313</c:v>
                </c:pt>
                <c:pt idx="16">
                  <c:v>31327.5</c:v>
                </c:pt>
                <c:pt idx="17">
                  <c:v>31328</c:v>
                </c:pt>
                <c:pt idx="18">
                  <c:v>32438.5</c:v>
                </c:pt>
                <c:pt idx="19">
                  <c:v>36372</c:v>
                </c:pt>
                <c:pt idx="20">
                  <c:v>39135.5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9">
                  <c:v>-0.12432000000262633</c:v>
                </c:pt>
                <c:pt idx="10">
                  <c:v>-0.12598399999842513</c:v>
                </c:pt>
                <c:pt idx="11">
                  <c:v>-0.12485800000285963</c:v>
                </c:pt>
                <c:pt idx="12">
                  <c:v>-0.14050599999609403</c:v>
                </c:pt>
                <c:pt idx="13">
                  <c:v>-0.11660000000119908</c:v>
                </c:pt>
                <c:pt idx="14">
                  <c:v>-0.11639999999897555</c:v>
                </c:pt>
                <c:pt idx="15">
                  <c:v>-0.19222399999853224</c:v>
                </c:pt>
                <c:pt idx="16">
                  <c:v>-0.19217000000207918</c:v>
                </c:pt>
                <c:pt idx="17">
                  <c:v>-0.19204400000307942</c:v>
                </c:pt>
                <c:pt idx="18">
                  <c:v>-0.16769799999747192</c:v>
                </c:pt>
                <c:pt idx="19">
                  <c:v>-7.6855999999679625E-2</c:v>
                </c:pt>
                <c:pt idx="20">
                  <c:v>-0.14785400000255322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C0-42A5-9D5A-889BC88235E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9">
                    <c:v>4.7000000000000002E-3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2.2000000000000001E-3</c:v>
                  </c:pt>
                  <c:pt idx="14">
                    <c:v>2.3E-3</c:v>
                  </c:pt>
                  <c:pt idx="18">
                    <c:v>1E-4</c:v>
                  </c:pt>
                  <c:pt idx="20">
                    <c:v>2.9999999999999997E-4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9">
                    <c:v>4.7000000000000002E-3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2.2000000000000001E-3</c:v>
                  </c:pt>
                  <c:pt idx="14">
                    <c:v>2.3E-3</c:v>
                  </c:pt>
                  <c:pt idx="18">
                    <c:v>1E-4</c:v>
                  </c:pt>
                  <c:pt idx="2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6984</c:v>
                </c:pt>
                <c:pt idx="2">
                  <c:v>7212.5</c:v>
                </c:pt>
                <c:pt idx="3">
                  <c:v>7971.5</c:v>
                </c:pt>
                <c:pt idx="4">
                  <c:v>8115.5</c:v>
                </c:pt>
                <c:pt idx="5">
                  <c:v>9394.5</c:v>
                </c:pt>
                <c:pt idx="6">
                  <c:v>9612.5</c:v>
                </c:pt>
                <c:pt idx="7">
                  <c:v>11068.5</c:v>
                </c:pt>
                <c:pt idx="8">
                  <c:v>11071.5</c:v>
                </c:pt>
                <c:pt idx="9">
                  <c:v>28415</c:v>
                </c:pt>
                <c:pt idx="10">
                  <c:v>28533</c:v>
                </c:pt>
                <c:pt idx="11">
                  <c:v>28533.5</c:v>
                </c:pt>
                <c:pt idx="12">
                  <c:v>28684.5</c:v>
                </c:pt>
                <c:pt idx="13">
                  <c:v>28725</c:v>
                </c:pt>
                <c:pt idx="14">
                  <c:v>28725</c:v>
                </c:pt>
                <c:pt idx="15">
                  <c:v>31313</c:v>
                </c:pt>
                <c:pt idx="16">
                  <c:v>31327.5</c:v>
                </c:pt>
                <c:pt idx="17">
                  <c:v>31328</c:v>
                </c:pt>
                <c:pt idx="18">
                  <c:v>32438.5</c:v>
                </c:pt>
                <c:pt idx="19">
                  <c:v>36372</c:v>
                </c:pt>
                <c:pt idx="20">
                  <c:v>39135.5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C0-42A5-9D5A-889BC88235E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9">
                    <c:v>4.7000000000000002E-3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2.2000000000000001E-3</c:v>
                  </c:pt>
                  <c:pt idx="14">
                    <c:v>2.3E-3</c:v>
                  </c:pt>
                  <c:pt idx="18">
                    <c:v>1E-4</c:v>
                  </c:pt>
                  <c:pt idx="20">
                    <c:v>2.9999999999999997E-4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9">
                    <c:v>4.7000000000000002E-3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2.2000000000000001E-3</c:v>
                  </c:pt>
                  <c:pt idx="14">
                    <c:v>2.3E-3</c:v>
                  </c:pt>
                  <c:pt idx="18">
                    <c:v>1E-4</c:v>
                  </c:pt>
                  <c:pt idx="2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6984</c:v>
                </c:pt>
                <c:pt idx="2">
                  <c:v>7212.5</c:v>
                </c:pt>
                <c:pt idx="3">
                  <c:v>7971.5</c:v>
                </c:pt>
                <c:pt idx="4">
                  <c:v>8115.5</c:v>
                </c:pt>
                <c:pt idx="5">
                  <c:v>9394.5</c:v>
                </c:pt>
                <c:pt idx="6">
                  <c:v>9612.5</c:v>
                </c:pt>
                <c:pt idx="7">
                  <c:v>11068.5</c:v>
                </c:pt>
                <c:pt idx="8">
                  <c:v>11071.5</c:v>
                </c:pt>
                <c:pt idx="9">
                  <c:v>28415</c:v>
                </c:pt>
                <c:pt idx="10">
                  <c:v>28533</c:v>
                </c:pt>
                <c:pt idx="11">
                  <c:v>28533.5</c:v>
                </c:pt>
                <c:pt idx="12">
                  <c:v>28684.5</c:v>
                </c:pt>
                <c:pt idx="13">
                  <c:v>28725</c:v>
                </c:pt>
                <c:pt idx="14">
                  <c:v>28725</c:v>
                </c:pt>
                <c:pt idx="15">
                  <c:v>31313</c:v>
                </c:pt>
                <c:pt idx="16">
                  <c:v>31327.5</c:v>
                </c:pt>
                <c:pt idx="17">
                  <c:v>31328</c:v>
                </c:pt>
                <c:pt idx="18">
                  <c:v>32438.5</c:v>
                </c:pt>
                <c:pt idx="19">
                  <c:v>36372</c:v>
                </c:pt>
                <c:pt idx="20">
                  <c:v>39135.5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C0-42A5-9D5A-889BC88235E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9">
                    <c:v>4.7000000000000002E-3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2.2000000000000001E-3</c:v>
                  </c:pt>
                  <c:pt idx="14">
                    <c:v>2.3E-3</c:v>
                  </c:pt>
                  <c:pt idx="18">
                    <c:v>1E-4</c:v>
                  </c:pt>
                  <c:pt idx="20">
                    <c:v>2.9999999999999997E-4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9">
                    <c:v>4.7000000000000002E-3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2.2000000000000001E-3</c:v>
                  </c:pt>
                  <c:pt idx="14">
                    <c:v>2.3E-3</c:v>
                  </c:pt>
                  <c:pt idx="18">
                    <c:v>1E-4</c:v>
                  </c:pt>
                  <c:pt idx="2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6984</c:v>
                </c:pt>
                <c:pt idx="2">
                  <c:v>7212.5</c:v>
                </c:pt>
                <c:pt idx="3">
                  <c:v>7971.5</c:v>
                </c:pt>
                <c:pt idx="4">
                  <c:v>8115.5</c:v>
                </c:pt>
                <c:pt idx="5">
                  <c:v>9394.5</c:v>
                </c:pt>
                <c:pt idx="6">
                  <c:v>9612.5</c:v>
                </c:pt>
                <c:pt idx="7">
                  <c:v>11068.5</c:v>
                </c:pt>
                <c:pt idx="8">
                  <c:v>11071.5</c:v>
                </c:pt>
                <c:pt idx="9">
                  <c:v>28415</c:v>
                </c:pt>
                <c:pt idx="10">
                  <c:v>28533</c:v>
                </c:pt>
                <c:pt idx="11">
                  <c:v>28533.5</c:v>
                </c:pt>
                <c:pt idx="12">
                  <c:v>28684.5</c:v>
                </c:pt>
                <c:pt idx="13">
                  <c:v>28725</c:v>
                </c:pt>
                <c:pt idx="14">
                  <c:v>28725</c:v>
                </c:pt>
                <c:pt idx="15">
                  <c:v>31313</c:v>
                </c:pt>
                <c:pt idx="16">
                  <c:v>31327.5</c:v>
                </c:pt>
                <c:pt idx="17">
                  <c:v>31328</c:v>
                </c:pt>
                <c:pt idx="18">
                  <c:v>32438.5</c:v>
                </c:pt>
                <c:pt idx="19">
                  <c:v>36372</c:v>
                </c:pt>
                <c:pt idx="20">
                  <c:v>39135.5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C0-42A5-9D5A-889BC88235E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9">
                    <c:v>4.7000000000000002E-3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2.2000000000000001E-3</c:v>
                  </c:pt>
                  <c:pt idx="14">
                    <c:v>2.3E-3</c:v>
                  </c:pt>
                  <c:pt idx="18">
                    <c:v>1E-4</c:v>
                  </c:pt>
                  <c:pt idx="20">
                    <c:v>2.9999999999999997E-4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9">
                    <c:v>4.7000000000000002E-3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1E-4</c:v>
                  </c:pt>
                  <c:pt idx="13">
                    <c:v>2.2000000000000001E-3</c:v>
                  </c:pt>
                  <c:pt idx="14">
                    <c:v>2.3E-3</c:v>
                  </c:pt>
                  <c:pt idx="18">
                    <c:v>1E-4</c:v>
                  </c:pt>
                  <c:pt idx="2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6984</c:v>
                </c:pt>
                <c:pt idx="2">
                  <c:v>7212.5</c:v>
                </c:pt>
                <c:pt idx="3">
                  <c:v>7971.5</c:v>
                </c:pt>
                <c:pt idx="4">
                  <c:v>8115.5</c:v>
                </c:pt>
                <c:pt idx="5">
                  <c:v>9394.5</c:v>
                </c:pt>
                <c:pt idx="6">
                  <c:v>9612.5</c:v>
                </c:pt>
                <c:pt idx="7">
                  <c:v>11068.5</c:v>
                </c:pt>
                <c:pt idx="8">
                  <c:v>11071.5</c:v>
                </c:pt>
                <c:pt idx="9">
                  <c:v>28415</c:v>
                </c:pt>
                <c:pt idx="10">
                  <c:v>28533</c:v>
                </c:pt>
                <c:pt idx="11">
                  <c:v>28533.5</c:v>
                </c:pt>
                <c:pt idx="12">
                  <c:v>28684.5</c:v>
                </c:pt>
                <c:pt idx="13">
                  <c:v>28725</c:v>
                </c:pt>
                <c:pt idx="14">
                  <c:v>28725</c:v>
                </c:pt>
                <c:pt idx="15">
                  <c:v>31313</c:v>
                </c:pt>
                <c:pt idx="16">
                  <c:v>31327.5</c:v>
                </c:pt>
                <c:pt idx="17">
                  <c:v>31328</c:v>
                </c:pt>
                <c:pt idx="18">
                  <c:v>32438.5</c:v>
                </c:pt>
                <c:pt idx="19">
                  <c:v>36372</c:v>
                </c:pt>
                <c:pt idx="20">
                  <c:v>39135.5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C0-42A5-9D5A-889BC88235E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6984</c:v>
                </c:pt>
                <c:pt idx="2">
                  <c:v>7212.5</c:v>
                </c:pt>
                <c:pt idx="3">
                  <c:v>7971.5</c:v>
                </c:pt>
                <c:pt idx="4">
                  <c:v>8115.5</c:v>
                </c:pt>
                <c:pt idx="5">
                  <c:v>9394.5</c:v>
                </c:pt>
                <c:pt idx="6">
                  <c:v>9612.5</c:v>
                </c:pt>
                <c:pt idx="7">
                  <c:v>11068.5</c:v>
                </c:pt>
                <c:pt idx="8">
                  <c:v>11071.5</c:v>
                </c:pt>
                <c:pt idx="9">
                  <c:v>28415</c:v>
                </c:pt>
                <c:pt idx="10">
                  <c:v>28533</c:v>
                </c:pt>
                <c:pt idx="11">
                  <c:v>28533.5</c:v>
                </c:pt>
                <c:pt idx="12">
                  <c:v>28684.5</c:v>
                </c:pt>
                <c:pt idx="13">
                  <c:v>28725</c:v>
                </c:pt>
                <c:pt idx="14">
                  <c:v>28725</c:v>
                </c:pt>
                <c:pt idx="15">
                  <c:v>31313</c:v>
                </c:pt>
                <c:pt idx="16">
                  <c:v>31327.5</c:v>
                </c:pt>
                <c:pt idx="17">
                  <c:v>31328</c:v>
                </c:pt>
                <c:pt idx="18">
                  <c:v>32438.5</c:v>
                </c:pt>
                <c:pt idx="19">
                  <c:v>36372</c:v>
                </c:pt>
                <c:pt idx="20">
                  <c:v>39135.5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2.6416349324547048E-2</c:v>
                </c:pt>
                <c:pt idx="1">
                  <c:v>-1.0822955264687399E-2</c:v>
                </c:pt>
                <c:pt idx="2">
                  <c:v>-1.2041337438032193E-2</c:v>
                </c:pt>
                <c:pt idx="3">
                  <c:v>-1.6088392447085598E-2</c:v>
                </c:pt>
                <c:pt idx="4">
                  <c:v>-1.6856213160265685E-2</c:v>
                </c:pt>
                <c:pt idx="5">
                  <c:v>-2.3675954078024974E-2</c:v>
                </c:pt>
                <c:pt idx="6">
                  <c:v>-2.4838349324367057E-2</c:v>
                </c:pt>
                <c:pt idx="7">
                  <c:v>-3.2601869868743541E-2</c:v>
                </c:pt>
                <c:pt idx="8">
                  <c:v>-3.2617866133601459E-2</c:v>
                </c:pt>
                <c:pt idx="9">
                  <c:v>-0.12509493932137172</c:v>
                </c:pt>
                <c:pt idx="10">
                  <c:v>-0.12572412573911651</c:v>
                </c:pt>
                <c:pt idx="11">
                  <c:v>-0.12572679178325952</c:v>
                </c:pt>
                <c:pt idx="12">
                  <c:v>-0.12653193711444144</c:v>
                </c:pt>
                <c:pt idx="13">
                  <c:v>-0.12674788669002329</c:v>
                </c:pt>
                <c:pt idx="14">
                  <c:v>-0.12674788669002329</c:v>
                </c:pt>
                <c:pt idx="15">
                  <c:v>-0.1405473311741211</c:v>
                </c:pt>
                <c:pt idx="16">
                  <c:v>-0.1406246464542677</c:v>
                </c:pt>
                <c:pt idx="17">
                  <c:v>-0.14062731249841065</c:v>
                </c:pt>
                <c:pt idx="18">
                  <c:v>-0.14654859653998353</c:v>
                </c:pt>
                <c:pt idx="19">
                  <c:v>-0.16752236581285779</c:v>
                </c:pt>
                <c:pt idx="20">
                  <c:v>-0.18225759179114376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C0-42A5-9D5A-889BC8823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240944"/>
        <c:axId val="1"/>
      </c:scatterChart>
      <c:valAx>
        <c:axId val="682240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240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528925619834711E-2"/>
          <c:y val="0.91925596256989606"/>
          <c:w val="0.97520769614541991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19</xdr:col>
      <xdr:colOff>304800</xdr:colOff>
      <xdr:row>18</xdr:row>
      <xdr:rowOff>104774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2DD6BDBC-A8BF-F1E9-A114-871E2A165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690" TargetMode="External"/><Relationship Id="rId3" Type="http://schemas.openxmlformats.org/officeDocument/2006/relationships/hyperlink" Target="http://www.konkoly.hu/cgi-bin/IBVS?5364" TargetMode="External"/><Relationship Id="rId7" Type="http://schemas.openxmlformats.org/officeDocument/2006/relationships/hyperlink" Target="http://www.konkoly.hu/cgi-bin/IBVS?5741" TargetMode="External"/><Relationship Id="rId2" Type="http://schemas.openxmlformats.org/officeDocument/2006/relationships/hyperlink" Target="http://www.konkoly.hu/cgi-bin/IBVS?5364" TargetMode="External"/><Relationship Id="rId1" Type="http://schemas.openxmlformats.org/officeDocument/2006/relationships/hyperlink" Target="http://www.konkoly.hu/cgi-bin/IBVS?5583" TargetMode="External"/><Relationship Id="rId6" Type="http://schemas.openxmlformats.org/officeDocument/2006/relationships/hyperlink" Target="http://www.konkoly.hu/cgi-bin/IBVS?5741" TargetMode="External"/><Relationship Id="rId5" Type="http://schemas.openxmlformats.org/officeDocument/2006/relationships/hyperlink" Target="http://www.konkoly.hu/cgi-bin/IBVS?5741" TargetMode="External"/><Relationship Id="rId10" Type="http://schemas.openxmlformats.org/officeDocument/2006/relationships/hyperlink" Target="http://www.konkoly.hu/cgi-bin/IBVS?5945" TargetMode="External"/><Relationship Id="rId4" Type="http://schemas.openxmlformats.org/officeDocument/2006/relationships/hyperlink" Target="http://www.konkoly.hu/cgi-bin/IBVS?5583" TargetMode="External"/><Relationship Id="rId9" Type="http://schemas.openxmlformats.org/officeDocument/2006/relationships/hyperlink" Target="http://vsolj.cetus-net.org/no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9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W16" sqref="W16"/>
    </sheetView>
  </sheetViews>
  <sheetFormatPr defaultColWidth="10.28515625" defaultRowHeight="12.75" x14ac:dyDescent="0.2"/>
  <cols>
    <col min="1" max="1" width="14.42578125" customWidth="1"/>
    <col min="2" max="2" width="5.140625" style="2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63" t="s">
        <v>54</v>
      </c>
      <c r="B1" s="41"/>
    </row>
    <row r="2" spans="1:7" s="5" customFormat="1" ht="12.95" customHeight="1" x14ac:dyDescent="0.2">
      <c r="A2" s="5" t="s">
        <v>24</v>
      </c>
      <c r="B2" s="40" t="s">
        <v>41</v>
      </c>
    </row>
    <row r="3" spans="1:7" s="5" customFormat="1" ht="12.95" customHeight="1" x14ac:dyDescent="0.2">
      <c r="B3" s="41"/>
    </row>
    <row r="4" spans="1:7" s="5" customFormat="1" ht="12.95" customHeight="1" x14ac:dyDescent="0.2">
      <c r="A4" s="42" t="s">
        <v>0</v>
      </c>
      <c r="B4" s="41"/>
      <c r="C4" s="43">
        <v>44752.9378</v>
      </c>
      <c r="D4" s="44">
        <v>0.27054800000000001</v>
      </c>
    </row>
    <row r="5" spans="1:7" s="5" customFormat="1" ht="12.95" customHeight="1" x14ac:dyDescent="0.2">
      <c r="B5" s="41"/>
    </row>
    <row r="6" spans="1:7" s="5" customFormat="1" ht="12.95" customHeight="1" x14ac:dyDescent="0.2">
      <c r="A6" s="42" t="s">
        <v>1</v>
      </c>
      <c r="B6" s="41"/>
    </row>
    <row r="7" spans="1:7" s="5" customFormat="1" ht="12.95" customHeight="1" x14ac:dyDescent="0.2">
      <c r="A7" s="5" t="s">
        <v>2</v>
      </c>
      <c r="B7" s="41"/>
      <c r="C7" s="5">
        <f>+C4</f>
        <v>44752.9378</v>
      </c>
    </row>
    <row r="8" spans="1:7" s="5" customFormat="1" ht="12.95" customHeight="1" x14ac:dyDescent="0.2">
      <c r="A8" s="5" t="s">
        <v>3</v>
      </c>
      <c r="B8" s="41"/>
      <c r="C8" s="5">
        <f>+D4</f>
        <v>0.27054800000000001</v>
      </c>
    </row>
    <row r="9" spans="1:7" s="5" customFormat="1" ht="12.95" customHeight="1" x14ac:dyDescent="0.2">
      <c r="A9" s="45" t="s">
        <v>44</v>
      </c>
      <c r="C9" s="46">
        <v>-9.5</v>
      </c>
      <c r="D9" s="5" t="s">
        <v>45</v>
      </c>
    </row>
    <row r="10" spans="1:7" s="5" customFormat="1" ht="12.95" customHeight="1" thickBot="1" x14ac:dyDescent="0.25">
      <c r="C10" s="47" t="s">
        <v>20</v>
      </c>
      <c r="D10" s="47" t="s">
        <v>21</v>
      </c>
    </row>
    <row r="11" spans="1:7" s="5" customFormat="1" ht="12.95" customHeight="1" x14ac:dyDescent="0.2">
      <c r="A11" s="5" t="s">
        <v>16</v>
      </c>
      <c r="C11" s="48">
        <f ca="1">INTERCEPT(INDIRECT($G$11):G992,INDIRECT($F$11):F992)</f>
        <v>2.6416349324547048E-2</v>
      </c>
      <c r="D11" s="41"/>
      <c r="F11" s="49" t="str">
        <f>"F"&amp;E19</f>
        <v>F21</v>
      </c>
      <c r="G11" s="48" t="str">
        <f>"G"&amp;E19</f>
        <v>G21</v>
      </c>
    </row>
    <row r="12" spans="1:7" s="5" customFormat="1" ht="12.95" customHeight="1" x14ac:dyDescent="0.2">
      <c r="A12" s="5" t="s">
        <v>17</v>
      </c>
      <c r="C12" s="48">
        <f ca="1">SLOPE(INDIRECT($G$11):G992,INDIRECT($F$11):F992)</f>
        <v>-5.3320882859728588E-6</v>
      </c>
      <c r="D12" s="41"/>
    </row>
    <row r="13" spans="1:7" s="5" customFormat="1" ht="12.95" customHeight="1" x14ac:dyDescent="0.2">
      <c r="A13" s="5" t="s">
        <v>19</v>
      </c>
      <c r="C13" s="41" t="s">
        <v>14</v>
      </c>
      <c r="D13" s="50" t="s">
        <v>52</v>
      </c>
      <c r="E13" s="46">
        <v>1</v>
      </c>
    </row>
    <row r="14" spans="1:7" s="5" customFormat="1" ht="12.95" customHeight="1" x14ac:dyDescent="0.2">
      <c r="D14" s="50" t="s">
        <v>46</v>
      </c>
      <c r="E14" s="51">
        <f ca="1">NOW()+15018.5+$C$9/24</f>
        <v>60374.786338310179</v>
      </c>
    </row>
    <row r="15" spans="1:7" s="5" customFormat="1" ht="12.95" customHeight="1" x14ac:dyDescent="0.2">
      <c r="A15" s="52" t="s">
        <v>18</v>
      </c>
      <c r="C15" s="53">
        <f ca="1">(C7+C11)+(C8+C12)*INT(MAX(F21:F3533))</f>
        <v>55340.651525074252</v>
      </c>
      <c r="D15" s="50" t="s">
        <v>53</v>
      </c>
      <c r="E15" s="51">
        <f ca="1">ROUND(2*(E14-$C$7)/$C$8,0)/2+E13</f>
        <v>57742.5</v>
      </c>
    </row>
    <row r="16" spans="1:7" s="5" customFormat="1" ht="12.95" customHeight="1" x14ac:dyDescent="0.2">
      <c r="A16" s="42" t="s">
        <v>4</v>
      </c>
      <c r="C16" s="54">
        <f ca="1">+C8+C12</f>
        <v>0.27054266791171405</v>
      </c>
      <c r="D16" s="50" t="s">
        <v>47</v>
      </c>
      <c r="E16" s="48">
        <f ca="1">ROUND(2*(E14-$C$15)/$C$16,0)/2+E13</f>
        <v>18608.5</v>
      </c>
    </row>
    <row r="17" spans="1:29" s="5" customFormat="1" ht="12.95" customHeight="1" thickBot="1" x14ac:dyDescent="0.25">
      <c r="A17" s="50" t="s">
        <v>43</v>
      </c>
      <c r="C17" s="5">
        <f>COUNT(C21:C2191)</f>
        <v>21</v>
      </c>
      <c r="D17" s="50" t="s">
        <v>48</v>
      </c>
      <c r="E17" s="55">
        <f ca="1">+$C$15+$C$16*E16-15018.5-$C$9/24</f>
        <v>45356.940594242718</v>
      </c>
    </row>
    <row r="18" spans="1:29" s="5" customFormat="1" ht="12.95" customHeight="1" thickTop="1" thickBot="1" x14ac:dyDescent="0.25">
      <c r="A18" s="42" t="s">
        <v>5</v>
      </c>
      <c r="C18" s="43">
        <f ca="1">+C15</f>
        <v>55340.651525074252</v>
      </c>
      <c r="D18" s="44">
        <f ca="1">+C16</f>
        <v>0.27054266791171405</v>
      </c>
      <c r="E18" s="56" t="s">
        <v>49</v>
      </c>
    </row>
    <row r="19" spans="1:29" s="5" customFormat="1" ht="12.95" customHeight="1" thickTop="1" x14ac:dyDescent="0.2">
      <c r="A19" s="57" t="s">
        <v>51</v>
      </c>
      <c r="E19" s="58">
        <v>21</v>
      </c>
    </row>
    <row r="20" spans="1:29" s="5" customFormat="1" ht="12.95" customHeight="1" thickBot="1" x14ac:dyDescent="0.25">
      <c r="A20" s="47" t="s">
        <v>6</v>
      </c>
      <c r="B20" s="47" t="s">
        <v>7</v>
      </c>
      <c r="C20" s="47" t="s">
        <v>8</v>
      </c>
      <c r="D20" s="47" t="s">
        <v>13</v>
      </c>
      <c r="E20" s="47" t="s">
        <v>9</v>
      </c>
      <c r="F20" s="47" t="s">
        <v>10</v>
      </c>
      <c r="G20" s="47" t="s">
        <v>11</v>
      </c>
      <c r="H20" s="59" t="s">
        <v>12</v>
      </c>
      <c r="I20" s="59" t="s">
        <v>65</v>
      </c>
      <c r="J20" s="59" t="s">
        <v>59</v>
      </c>
      <c r="K20" s="59" t="s">
        <v>57</v>
      </c>
      <c r="L20" s="59" t="s">
        <v>25</v>
      </c>
      <c r="M20" s="59" t="s">
        <v>26</v>
      </c>
      <c r="N20" s="59" t="s">
        <v>27</v>
      </c>
      <c r="O20" s="59" t="s">
        <v>23</v>
      </c>
      <c r="P20" s="60" t="s">
        <v>22</v>
      </c>
      <c r="Q20" s="47" t="s">
        <v>15</v>
      </c>
    </row>
    <row r="21" spans="1:29" s="5" customFormat="1" ht="12.95" customHeight="1" x14ac:dyDescent="0.2">
      <c r="A21" s="5" t="s">
        <v>12</v>
      </c>
      <c r="B21" s="41"/>
      <c r="C21" s="61">
        <v>44752.9378</v>
      </c>
      <c r="D21" s="61" t="s">
        <v>14</v>
      </c>
      <c r="E21" s="5">
        <f t="shared" ref="E21:E41" si="0">+(C21-C$7)/C$8</f>
        <v>0</v>
      </c>
      <c r="F21" s="5">
        <f t="shared" ref="F21:F29" si="1">ROUND(2*E21,0)/2</f>
        <v>0</v>
      </c>
      <c r="G21" s="5">
        <f t="shared" ref="G21:G41" si="2">+C21-(C$7+F21*C$8)</f>
        <v>0</v>
      </c>
      <c r="H21" s="5">
        <f>+G21</f>
        <v>0</v>
      </c>
      <c r="O21" s="5">
        <f t="shared" ref="O21:O41" ca="1" si="3">+C$11+C$12*$F21</f>
        <v>2.6416349324547048E-2</v>
      </c>
      <c r="Q21" s="62">
        <f t="shared" ref="Q21:Q41" si="4">+C21-15018.5</f>
        <v>29734.4378</v>
      </c>
    </row>
    <row r="22" spans="1:29" s="5" customFormat="1" ht="12.95" customHeight="1" x14ac:dyDescent="0.2">
      <c r="A22" s="5" t="s">
        <v>29</v>
      </c>
      <c r="B22" s="41" t="s">
        <v>37</v>
      </c>
      <c r="C22" s="61">
        <v>46642.472999999998</v>
      </c>
      <c r="D22" s="61"/>
      <c r="E22" s="5">
        <f t="shared" si="0"/>
        <v>6984.1033753714619</v>
      </c>
      <c r="F22" s="5">
        <f t="shared" si="1"/>
        <v>6984</v>
      </c>
      <c r="G22" s="5">
        <f t="shared" si="2"/>
        <v>2.7967999994871207E-2</v>
      </c>
      <c r="I22" s="5">
        <f t="shared" ref="I22:I29" si="5">+G22</f>
        <v>2.7967999994871207E-2</v>
      </c>
      <c r="O22" s="5">
        <f t="shared" ca="1" si="3"/>
        <v>-1.0822955264687399E-2</v>
      </c>
      <c r="Q22" s="62">
        <f t="shared" si="4"/>
        <v>31623.972999999998</v>
      </c>
      <c r="Z22" s="5">
        <v>7</v>
      </c>
      <c r="AA22" s="5" t="s">
        <v>28</v>
      </c>
      <c r="AC22" s="5" t="s">
        <v>30</v>
      </c>
    </row>
    <row r="23" spans="1:29" s="5" customFormat="1" ht="12.95" customHeight="1" x14ac:dyDescent="0.2">
      <c r="A23" s="5" t="s">
        <v>31</v>
      </c>
      <c r="B23" s="41"/>
      <c r="C23" s="61">
        <v>46704.315999999999</v>
      </c>
      <c r="D23" s="61"/>
      <c r="E23" s="5">
        <f t="shared" si="0"/>
        <v>7212.6875822404863</v>
      </c>
      <c r="F23" s="5">
        <f t="shared" si="1"/>
        <v>7212.5</v>
      </c>
      <c r="G23" s="5">
        <f t="shared" si="2"/>
        <v>5.0750000002153683E-2</v>
      </c>
      <c r="I23" s="5">
        <f t="shared" si="5"/>
        <v>5.0750000002153683E-2</v>
      </c>
      <c r="O23" s="5">
        <f t="shared" ca="1" si="3"/>
        <v>-1.2041337438032193E-2</v>
      </c>
      <c r="Q23" s="62">
        <f t="shared" si="4"/>
        <v>31685.815999999999</v>
      </c>
      <c r="Z23" s="5">
        <v>6</v>
      </c>
      <c r="AA23" s="5" t="s">
        <v>28</v>
      </c>
      <c r="AC23" s="5" t="s">
        <v>30</v>
      </c>
    </row>
    <row r="24" spans="1:29" s="5" customFormat="1" ht="12.95" customHeight="1" x14ac:dyDescent="0.2">
      <c r="A24" s="5" t="s">
        <v>32</v>
      </c>
      <c r="B24" s="41"/>
      <c r="C24" s="61">
        <v>46909.55</v>
      </c>
      <c r="D24" s="61"/>
      <c r="E24" s="5">
        <f t="shared" si="0"/>
        <v>7971.2738589825212</v>
      </c>
      <c r="F24" s="5">
        <f t="shared" si="1"/>
        <v>7971.5</v>
      </c>
      <c r="G24" s="5">
        <f t="shared" si="2"/>
        <v>-6.1181999997643288E-2</v>
      </c>
      <c r="I24" s="5">
        <f t="shared" si="5"/>
        <v>-6.1181999997643288E-2</v>
      </c>
      <c r="O24" s="5">
        <f t="shared" ca="1" si="3"/>
        <v>-1.6088392447085598E-2</v>
      </c>
      <c r="Q24" s="62">
        <f t="shared" si="4"/>
        <v>31891.050000000003</v>
      </c>
      <c r="Z24" s="5">
        <v>6</v>
      </c>
      <c r="AA24" s="5" t="s">
        <v>28</v>
      </c>
      <c r="AC24" s="5" t="s">
        <v>30</v>
      </c>
    </row>
    <row r="25" spans="1:29" x14ac:dyDescent="0.2">
      <c r="A25" t="s">
        <v>33</v>
      </c>
      <c r="B25" s="2" t="s">
        <v>37</v>
      </c>
      <c r="C25" s="13">
        <v>46948.519</v>
      </c>
      <c r="D25" s="13"/>
      <c r="E25">
        <f t="shared" si="0"/>
        <v>8115.3111462660991</v>
      </c>
      <c r="F25">
        <f t="shared" si="1"/>
        <v>8115.5</v>
      </c>
      <c r="G25">
        <f t="shared" si="2"/>
        <v>-5.1094000002194662E-2</v>
      </c>
      <c r="I25">
        <f t="shared" si="5"/>
        <v>-5.1094000002194662E-2</v>
      </c>
      <c r="O25">
        <f t="shared" ca="1" si="3"/>
        <v>-1.6856213160265685E-2</v>
      </c>
      <c r="Q25" s="1">
        <f t="shared" si="4"/>
        <v>31930.019</v>
      </c>
      <c r="Z25">
        <v>6</v>
      </c>
      <c r="AA25" t="s">
        <v>28</v>
      </c>
      <c r="AC25" t="s">
        <v>30</v>
      </c>
    </row>
    <row r="26" spans="1:29" x14ac:dyDescent="0.2">
      <c r="A26" t="s">
        <v>34</v>
      </c>
      <c r="B26" s="2" t="s">
        <v>37</v>
      </c>
      <c r="C26" s="13">
        <v>47294.553</v>
      </c>
      <c r="D26" s="13"/>
      <c r="E26">
        <f t="shared" si="0"/>
        <v>9394.3226340612382</v>
      </c>
      <c r="F26">
        <f t="shared" si="1"/>
        <v>9394.5</v>
      </c>
      <c r="G26">
        <f t="shared" si="2"/>
        <v>-4.7985999997763429E-2</v>
      </c>
      <c r="I26">
        <f t="shared" si="5"/>
        <v>-4.7985999997763429E-2</v>
      </c>
      <c r="O26">
        <f t="shared" ca="1" si="3"/>
        <v>-2.3675954078024974E-2</v>
      </c>
      <c r="Q26" s="1">
        <f t="shared" si="4"/>
        <v>32276.053</v>
      </c>
      <c r="Z26">
        <v>5</v>
      </c>
      <c r="AA26" t="s">
        <v>28</v>
      </c>
      <c r="AC26" t="s">
        <v>30</v>
      </c>
    </row>
    <row r="27" spans="1:29" x14ac:dyDescent="0.2">
      <c r="A27" t="s">
        <v>35</v>
      </c>
      <c r="B27" s="2" t="s">
        <v>37</v>
      </c>
      <c r="C27" s="13">
        <v>47353.548000000003</v>
      </c>
      <c r="D27" s="14"/>
      <c r="E27" s="7">
        <f t="shared" si="0"/>
        <v>9612.3800582521508</v>
      </c>
      <c r="F27" s="7">
        <f t="shared" si="1"/>
        <v>9612.5</v>
      </c>
      <c r="G27" s="7">
        <f t="shared" si="2"/>
        <v>-3.2449999998789281E-2</v>
      </c>
      <c r="H27" s="7"/>
      <c r="I27" s="7">
        <f t="shared" si="5"/>
        <v>-3.2449999998789281E-2</v>
      </c>
      <c r="O27">
        <f t="shared" ca="1" si="3"/>
        <v>-2.4838349324367057E-2</v>
      </c>
      <c r="Q27" s="1">
        <f t="shared" si="4"/>
        <v>32335.048000000003</v>
      </c>
      <c r="Z27">
        <v>6</v>
      </c>
      <c r="AA27" t="s">
        <v>28</v>
      </c>
      <c r="AC27" t="s">
        <v>30</v>
      </c>
    </row>
    <row r="28" spans="1:29" x14ac:dyDescent="0.2">
      <c r="A28" t="s">
        <v>36</v>
      </c>
      <c r="B28" s="2" t="s">
        <v>37</v>
      </c>
      <c r="C28" s="13">
        <v>47747.502</v>
      </c>
      <c r="D28" s="14"/>
      <c r="E28" s="7">
        <f t="shared" si="0"/>
        <v>11068.513535490933</v>
      </c>
      <c r="F28" s="7">
        <f t="shared" si="1"/>
        <v>11068.5</v>
      </c>
      <c r="G28" s="7">
        <f t="shared" si="2"/>
        <v>3.6620000028051436E-3</v>
      </c>
      <c r="H28" s="7"/>
      <c r="I28" s="7">
        <f t="shared" si="5"/>
        <v>3.6620000028051436E-3</v>
      </c>
      <c r="O28">
        <f t="shared" ca="1" si="3"/>
        <v>-3.2601869868743541E-2</v>
      </c>
      <c r="Q28" s="1">
        <f t="shared" si="4"/>
        <v>32729.002</v>
      </c>
      <c r="Z28">
        <v>9</v>
      </c>
      <c r="AA28" t="s">
        <v>28</v>
      </c>
      <c r="AC28" t="s">
        <v>30</v>
      </c>
    </row>
    <row r="29" spans="1:29" x14ac:dyDescent="0.2">
      <c r="A29" t="s">
        <v>36</v>
      </c>
      <c r="B29" s="2" t="s">
        <v>37</v>
      </c>
      <c r="C29" s="13">
        <v>47748.32</v>
      </c>
      <c r="D29" s="14"/>
      <c r="E29" s="7">
        <f t="shared" si="0"/>
        <v>11071.537028549463</v>
      </c>
      <c r="F29" s="7">
        <f t="shared" si="1"/>
        <v>11071.5</v>
      </c>
      <c r="G29" s="7">
        <f t="shared" si="2"/>
        <v>1.0018000000854954E-2</v>
      </c>
      <c r="H29" s="7"/>
      <c r="I29" s="7">
        <f t="shared" si="5"/>
        <v>1.0018000000854954E-2</v>
      </c>
      <c r="O29">
        <f t="shared" ca="1" si="3"/>
        <v>-3.2617866133601459E-2</v>
      </c>
      <c r="Q29" s="1">
        <f t="shared" si="4"/>
        <v>32729.82</v>
      </c>
      <c r="Z29">
        <v>6</v>
      </c>
      <c r="AA29" t="s">
        <v>28</v>
      </c>
      <c r="AC29" t="s">
        <v>30</v>
      </c>
    </row>
    <row r="30" spans="1:29" x14ac:dyDescent="0.2">
      <c r="A30" s="3" t="s">
        <v>40</v>
      </c>
      <c r="B30" s="4" t="s">
        <v>39</v>
      </c>
      <c r="C30" s="3">
        <v>52440.4349</v>
      </c>
      <c r="D30" s="10">
        <v>4.7000000000000002E-3</v>
      </c>
      <c r="E30" s="7">
        <f t="shared" si="0"/>
        <v>28414.540488194332</v>
      </c>
      <c r="F30" s="18">
        <f t="shared" ref="F30:F41" si="6">ROUND(2*E30,0)/2+0.5</f>
        <v>28415</v>
      </c>
      <c r="G30" s="7">
        <f t="shared" si="2"/>
        <v>-0.12432000000262633</v>
      </c>
      <c r="H30" s="7"/>
      <c r="I30" s="7"/>
      <c r="J30">
        <f t="shared" ref="J30:J35" si="7">+G30</f>
        <v>-0.12432000000262633</v>
      </c>
      <c r="O30">
        <f t="shared" ca="1" si="3"/>
        <v>-0.12509493932137172</v>
      </c>
      <c r="Q30" s="1">
        <f t="shared" si="4"/>
        <v>37421.9349</v>
      </c>
    </row>
    <row r="31" spans="1:29" x14ac:dyDescent="0.2">
      <c r="A31" t="s">
        <v>38</v>
      </c>
      <c r="B31" s="2" t="s">
        <v>39</v>
      </c>
      <c r="C31" s="13">
        <v>52472.357900000003</v>
      </c>
      <c r="D31" s="14">
        <v>6.9999999999999999E-4</v>
      </c>
      <c r="E31" s="7">
        <f t="shared" si="0"/>
        <v>28532.534337714573</v>
      </c>
      <c r="F31" s="18">
        <f t="shared" si="6"/>
        <v>28533</v>
      </c>
      <c r="G31" s="7">
        <f t="shared" si="2"/>
        <v>-0.12598399999842513</v>
      </c>
      <c r="H31" s="7"/>
      <c r="I31" s="7"/>
      <c r="J31">
        <f t="shared" si="7"/>
        <v>-0.12598399999842513</v>
      </c>
      <c r="O31">
        <f t="shared" ca="1" si="3"/>
        <v>-0.12572412573911651</v>
      </c>
      <c r="Q31" s="1">
        <f t="shared" si="4"/>
        <v>37453.857900000003</v>
      </c>
    </row>
    <row r="32" spans="1:29" x14ac:dyDescent="0.2">
      <c r="A32" s="19" t="s">
        <v>38</v>
      </c>
      <c r="B32" s="20" t="s">
        <v>37</v>
      </c>
      <c r="C32" s="19">
        <v>52472.494299999998</v>
      </c>
      <c r="D32" s="21">
        <v>2.9999999999999997E-4</v>
      </c>
      <c r="E32" s="7">
        <f t="shared" si="0"/>
        <v>28533.038499637765</v>
      </c>
      <c r="F32" s="18">
        <f t="shared" si="6"/>
        <v>28533.5</v>
      </c>
      <c r="G32" s="7">
        <f t="shared" si="2"/>
        <v>-0.12485800000285963</v>
      </c>
      <c r="H32" s="7"/>
      <c r="I32" s="7"/>
      <c r="J32">
        <f t="shared" si="7"/>
        <v>-0.12485800000285963</v>
      </c>
      <c r="O32">
        <f t="shared" ca="1" si="3"/>
        <v>-0.12572679178325952</v>
      </c>
      <c r="Q32" s="1">
        <f t="shared" si="4"/>
        <v>37453.994299999998</v>
      </c>
    </row>
    <row r="33" spans="1:17" x14ac:dyDescent="0.2">
      <c r="A33" t="s">
        <v>38</v>
      </c>
      <c r="B33" s="2" t="s">
        <v>37</v>
      </c>
      <c r="C33" s="13">
        <v>52513.331400000003</v>
      </c>
      <c r="D33" s="14">
        <v>1E-4</v>
      </c>
      <c r="E33" s="7">
        <f t="shared" si="0"/>
        <v>28683.98066147228</v>
      </c>
      <c r="F33" s="18">
        <f t="shared" si="6"/>
        <v>28684.5</v>
      </c>
      <c r="G33" s="7">
        <f t="shared" si="2"/>
        <v>-0.14050599999609403</v>
      </c>
      <c r="H33" s="7"/>
      <c r="I33" s="7"/>
      <c r="J33">
        <f t="shared" si="7"/>
        <v>-0.14050599999609403</v>
      </c>
      <c r="O33">
        <f t="shared" ca="1" si="3"/>
        <v>-0.12653193711444144</v>
      </c>
      <c r="Q33" s="1">
        <f t="shared" si="4"/>
        <v>37494.831400000003</v>
      </c>
    </row>
    <row r="34" spans="1:17" x14ac:dyDescent="0.2">
      <c r="A34" s="3" t="s">
        <v>40</v>
      </c>
      <c r="B34" s="4" t="s">
        <v>39</v>
      </c>
      <c r="C34" s="3">
        <v>52524.3125</v>
      </c>
      <c r="D34" s="11">
        <v>2.2000000000000001E-3</v>
      </c>
      <c r="E34" s="7">
        <f t="shared" si="0"/>
        <v>28724.569022872096</v>
      </c>
      <c r="F34" s="18">
        <f t="shared" si="6"/>
        <v>28725</v>
      </c>
      <c r="G34" s="7">
        <f t="shared" si="2"/>
        <v>-0.11660000000119908</v>
      </c>
      <c r="H34" s="7"/>
      <c r="I34" s="7"/>
      <c r="J34">
        <f t="shared" si="7"/>
        <v>-0.11660000000119908</v>
      </c>
      <c r="O34">
        <f t="shared" ca="1" si="3"/>
        <v>-0.12674788669002329</v>
      </c>
      <c r="Q34" s="1">
        <f t="shared" si="4"/>
        <v>37505.8125</v>
      </c>
    </row>
    <row r="35" spans="1:17" x14ac:dyDescent="0.2">
      <c r="A35" s="3" t="s">
        <v>40</v>
      </c>
      <c r="B35" s="4" t="s">
        <v>39</v>
      </c>
      <c r="C35" s="3">
        <v>52524.312700000002</v>
      </c>
      <c r="D35" s="10">
        <v>2.3E-3</v>
      </c>
      <c r="E35" s="7">
        <f t="shared" si="0"/>
        <v>28724.56976211246</v>
      </c>
      <c r="F35" s="18">
        <f t="shared" si="6"/>
        <v>28725</v>
      </c>
      <c r="G35" s="7">
        <f t="shared" si="2"/>
        <v>-0.11639999999897555</v>
      </c>
      <c r="H35" s="7"/>
      <c r="I35" s="7"/>
      <c r="J35">
        <f t="shared" si="7"/>
        <v>-0.11639999999897555</v>
      </c>
      <c r="O35">
        <f t="shared" ca="1" si="3"/>
        <v>-0.12674788669002329</v>
      </c>
      <c r="Q35" s="1">
        <f t="shared" si="4"/>
        <v>37505.812700000002</v>
      </c>
    </row>
    <row r="36" spans="1:17" x14ac:dyDescent="0.2">
      <c r="A36" s="35" t="s">
        <v>89</v>
      </c>
      <c r="B36" s="36" t="s">
        <v>39</v>
      </c>
      <c r="C36" s="37">
        <v>53224.415099999998</v>
      </c>
      <c r="D36" s="13"/>
      <c r="E36" s="7">
        <f t="shared" si="0"/>
        <v>31312.289501308449</v>
      </c>
      <c r="F36" s="18">
        <f t="shared" si="6"/>
        <v>31313</v>
      </c>
      <c r="G36" s="7">
        <f t="shared" si="2"/>
        <v>-0.19222399999853224</v>
      </c>
      <c r="H36" s="7"/>
      <c r="I36" s="7"/>
      <c r="J36">
        <f>+G36</f>
        <v>-0.19222399999853224</v>
      </c>
      <c r="O36">
        <f t="shared" ca="1" si="3"/>
        <v>-0.1405473311741211</v>
      </c>
      <c r="Q36" s="1">
        <f t="shared" si="4"/>
        <v>38205.915099999998</v>
      </c>
    </row>
    <row r="37" spans="1:17" x14ac:dyDescent="0.2">
      <c r="A37" s="35" t="s">
        <v>89</v>
      </c>
      <c r="B37" s="36" t="s">
        <v>39</v>
      </c>
      <c r="C37" s="37">
        <v>53228.338100000001</v>
      </c>
      <c r="D37" s="13"/>
      <c r="E37" s="7">
        <f t="shared" si="0"/>
        <v>31326.789700903355</v>
      </c>
      <c r="F37" s="18">
        <f t="shared" si="6"/>
        <v>31327.5</v>
      </c>
      <c r="G37" s="7">
        <f t="shared" si="2"/>
        <v>-0.19217000000207918</v>
      </c>
      <c r="H37" s="7"/>
      <c r="I37" s="7"/>
      <c r="J37">
        <f>+G37</f>
        <v>-0.19217000000207918</v>
      </c>
      <c r="O37">
        <f t="shared" ca="1" si="3"/>
        <v>-0.1406246464542677</v>
      </c>
      <c r="Q37" s="1">
        <f t="shared" si="4"/>
        <v>38209.838100000001</v>
      </c>
    </row>
    <row r="38" spans="1:17" x14ac:dyDescent="0.2">
      <c r="A38" s="35" t="s">
        <v>89</v>
      </c>
      <c r="B38" s="36" t="s">
        <v>39</v>
      </c>
      <c r="C38" s="37">
        <v>53228.4735</v>
      </c>
      <c r="D38" s="14"/>
      <c r="E38" s="7">
        <f t="shared" si="0"/>
        <v>31327.290166624778</v>
      </c>
      <c r="F38" s="18">
        <f t="shared" si="6"/>
        <v>31328</v>
      </c>
      <c r="G38" s="7">
        <f t="shared" si="2"/>
        <v>-0.19204400000307942</v>
      </c>
      <c r="H38" s="7"/>
      <c r="I38" s="7"/>
      <c r="J38">
        <f>+G38</f>
        <v>-0.19204400000307942</v>
      </c>
      <c r="O38">
        <f t="shared" ca="1" si="3"/>
        <v>-0.14062731249841065</v>
      </c>
      <c r="Q38" s="1">
        <f t="shared" si="4"/>
        <v>38209.9735</v>
      </c>
    </row>
    <row r="39" spans="1:17" x14ac:dyDescent="0.2">
      <c r="A39" s="5" t="s">
        <v>42</v>
      </c>
      <c r="B39" s="6" t="s">
        <v>39</v>
      </c>
      <c r="C39" s="15">
        <v>53528.941400000003</v>
      </c>
      <c r="D39" s="38">
        <v>1E-4</v>
      </c>
      <c r="E39" s="7">
        <f t="shared" si="0"/>
        <v>32437.880154353399</v>
      </c>
      <c r="F39" s="18">
        <f t="shared" si="6"/>
        <v>32438.5</v>
      </c>
      <c r="G39" s="7">
        <f t="shared" si="2"/>
        <v>-0.16769799999747192</v>
      </c>
      <c r="H39" s="7"/>
      <c r="I39" s="7"/>
      <c r="J39">
        <f>+G39</f>
        <v>-0.16769799999747192</v>
      </c>
      <c r="O39">
        <f t="shared" ca="1" si="3"/>
        <v>-0.14654859653998353</v>
      </c>
      <c r="Q39" s="1">
        <f t="shared" si="4"/>
        <v>38510.441400000003</v>
      </c>
    </row>
    <row r="40" spans="1:17" x14ac:dyDescent="0.2">
      <c r="A40" s="35" t="s">
        <v>106</v>
      </c>
      <c r="B40" s="36" t="s">
        <v>39</v>
      </c>
      <c r="C40" s="37">
        <v>54593.232799999998</v>
      </c>
      <c r="D40" s="9"/>
      <c r="E40" s="7">
        <f t="shared" si="0"/>
        <v>36371.715924715754</v>
      </c>
      <c r="F40" s="18">
        <f t="shared" si="6"/>
        <v>36372</v>
      </c>
      <c r="G40" s="7">
        <f t="shared" si="2"/>
        <v>-7.6855999999679625E-2</v>
      </c>
      <c r="H40" s="7"/>
      <c r="I40" s="7"/>
      <c r="J40">
        <f>+G40</f>
        <v>-7.6855999999679625E-2</v>
      </c>
      <c r="O40">
        <f t="shared" ca="1" si="3"/>
        <v>-0.16752236581285779</v>
      </c>
      <c r="Q40" s="1">
        <f t="shared" si="4"/>
        <v>39574.732799999998</v>
      </c>
    </row>
    <row r="41" spans="1:17" x14ac:dyDescent="0.2">
      <c r="A41" s="16" t="s">
        <v>50</v>
      </c>
      <c r="B41" s="17" t="s">
        <v>37</v>
      </c>
      <c r="C41" s="16">
        <v>55340.821199999998</v>
      </c>
      <c r="D41" s="39">
        <v>2.9999999999999997E-4</v>
      </c>
      <c r="E41" s="7">
        <f t="shared" si="0"/>
        <v>39134.953501781565</v>
      </c>
      <c r="F41" s="18">
        <f t="shared" si="6"/>
        <v>39135.5</v>
      </c>
      <c r="G41" s="7">
        <f t="shared" si="2"/>
        <v>-0.14785400000255322</v>
      </c>
      <c r="H41" s="7"/>
      <c r="I41" s="7"/>
      <c r="J41">
        <f>+G41</f>
        <v>-0.14785400000255322</v>
      </c>
      <c r="O41">
        <f t="shared" ca="1" si="3"/>
        <v>-0.18225759179114376</v>
      </c>
      <c r="Q41" s="1">
        <f t="shared" si="4"/>
        <v>40322.321199999998</v>
      </c>
    </row>
    <row r="42" spans="1:17" x14ac:dyDescent="0.2">
      <c r="C42" s="8"/>
      <c r="D42" s="9"/>
      <c r="E42" s="7"/>
      <c r="F42" s="7"/>
      <c r="G42" s="7"/>
      <c r="H42" s="7"/>
      <c r="I42" s="7"/>
    </row>
    <row r="43" spans="1:17" x14ac:dyDescent="0.2">
      <c r="C43" s="8"/>
      <c r="D43" s="9"/>
      <c r="E43" s="7"/>
      <c r="F43" s="7"/>
      <c r="G43" s="7"/>
      <c r="H43" s="7"/>
      <c r="I43" s="7"/>
    </row>
    <row r="44" spans="1:17" x14ac:dyDescent="0.2">
      <c r="C44" s="8"/>
      <c r="D44" s="9"/>
      <c r="E44" s="7"/>
      <c r="F44" s="7"/>
      <c r="G44" s="7"/>
      <c r="H44" s="7"/>
      <c r="I44" s="7"/>
    </row>
    <row r="45" spans="1:17" x14ac:dyDescent="0.2">
      <c r="C45" s="8"/>
      <c r="D45" s="9"/>
      <c r="E45" s="7"/>
      <c r="F45" s="7"/>
      <c r="G45" s="7"/>
      <c r="H45" s="7"/>
      <c r="I45" s="7"/>
    </row>
    <row r="46" spans="1:17" x14ac:dyDescent="0.2">
      <c r="C46" s="8"/>
      <c r="D46" s="9"/>
      <c r="E46" s="7"/>
      <c r="F46" s="7"/>
      <c r="G46" s="7"/>
      <c r="H46" s="7"/>
      <c r="I46" s="7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2"/>
  <sheetViews>
    <sheetView workbookViewId="0">
      <selection activeCell="A17" sqref="A17:C20"/>
    </sheetView>
  </sheetViews>
  <sheetFormatPr defaultRowHeight="12.75" x14ac:dyDescent="0.2"/>
  <cols>
    <col min="1" max="1" width="19.7109375" style="8" customWidth="1"/>
    <col min="2" max="2" width="4.42578125" style="12" customWidth="1"/>
    <col min="3" max="3" width="12.7109375" style="8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8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22" t="s">
        <v>55</v>
      </c>
      <c r="I1" s="23" t="s">
        <v>56</v>
      </c>
      <c r="J1" s="24" t="s">
        <v>57</v>
      </c>
    </row>
    <row r="2" spans="1:16" x14ac:dyDescent="0.2">
      <c r="I2" s="25" t="s">
        <v>58</v>
      </c>
      <c r="J2" s="26" t="s">
        <v>59</v>
      </c>
    </row>
    <row r="3" spans="1:16" x14ac:dyDescent="0.2">
      <c r="A3" s="27" t="s">
        <v>60</v>
      </c>
      <c r="I3" s="25" t="s">
        <v>61</v>
      </c>
      <c r="J3" s="26" t="s">
        <v>62</v>
      </c>
    </row>
    <row r="4" spans="1:16" x14ac:dyDescent="0.2">
      <c r="I4" s="25" t="s">
        <v>63</v>
      </c>
      <c r="J4" s="26" t="s">
        <v>62</v>
      </c>
    </row>
    <row r="5" spans="1:16" ht="13.5" thickBot="1" x14ac:dyDescent="0.25">
      <c r="I5" s="28" t="s">
        <v>64</v>
      </c>
      <c r="J5" s="29" t="s">
        <v>65</v>
      </c>
    </row>
    <row r="10" spans="1:16" ht="13.5" thickBot="1" x14ac:dyDescent="0.25"/>
    <row r="11" spans="1:16" ht="12.75" customHeight="1" thickBot="1" x14ac:dyDescent="0.25">
      <c r="A11" s="8" t="str">
        <f t="shared" ref="A11:A20" si="0">P11</f>
        <v>IBVS 5583 </v>
      </c>
      <c r="B11" s="2" t="str">
        <f t="shared" ref="B11:B20" si="1">IF(H11=INT(H11),"I","II")</f>
        <v>II</v>
      </c>
      <c r="C11" s="8">
        <f t="shared" ref="C11:C20" si="2">1*G11</f>
        <v>52440.4349</v>
      </c>
      <c r="D11" s="12" t="str">
        <f t="shared" ref="D11:D20" si="3">VLOOKUP(F11,I$1:J$5,2,FALSE)</f>
        <v>vis</v>
      </c>
      <c r="E11" s="30">
        <f>VLOOKUP(C11,Active!C$21:E$973,3,FALSE)</f>
        <v>28414.540488194332</v>
      </c>
      <c r="F11" s="2" t="s">
        <v>64</v>
      </c>
      <c r="G11" s="12" t="str">
        <f t="shared" ref="G11:G20" si="4">MID(I11,3,LEN(I11)-3)</f>
        <v>52440.4349</v>
      </c>
      <c r="H11" s="8">
        <f t="shared" ref="H11:H20" si="5">1*K11</f>
        <v>28414.5</v>
      </c>
      <c r="I11" s="31" t="s">
        <v>66</v>
      </c>
      <c r="J11" s="32" t="s">
        <v>67</v>
      </c>
      <c r="K11" s="31">
        <v>28414.5</v>
      </c>
      <c r="L11" s="31" t="s">
        <v>68</v>
      </c>
      <c r="M11" s="32" t="s">
        <v>69</v>
      </c>
      <c r="N11" s="32" t="s">
        <v>70</v>
      </c>
      <c r="O11" s="33" t="s">
        <v>71</v>
      </c>
      <c r="P11" s="34" t="s">
        <v>72</v>
      </c>
    </row>
    <row r="12" spans="1:16" ht="12.75" customHeight="1" thickBot="1" x14ac:dyDescent="0.25">
      <c r="A12" s="8" t="str">
        <f t="shared" si="0"/>
        <v>IBVS 5364 </v>
      </c>
      <c r="B12" s="2" t="str">
        <f t="shared" si="1"/>
        <v>II</v>
      </c>
      <c r="C12" s="8">
        <f t="shared" si="2"/>
        <v>52472.357900000003</v>
      </c>
      <c r="D12" s="12" t="str">
        <f t="shared" si="3"/>
        <v>vis</v>
      </c>
      <c r="E12" s="30">
        <f>VLOOKUP(C12,Active!C$21:E$973,3,FALSE)</f>
        <v>28532.534337714573</v>
      </c>
      <c r="F12" s="2" t="s">
        <v>64</v>
      </c>
      <c r="G12" s="12" t="str">
        <f t="shared" si="4"/>
        <v>52472.3579</v>
      </c>
      <c r="H12" s="8">
        <f t="shared" si="5"/>
        <v>28532.5</v>
      </c>
      <c r="I12" s="31" t="s">
        <v>73</v>
      </c>
      <c r="J12" s="32" t="s">
        <v>74</v>
      </c>
      <c r="K12" s="31">
        <v>28532.5</v>
      </c>
      <c r="L12" s="31" t="s">
        <v>75</v>
      </c>
      <c r="M12" s="32" t="s">
        <v>69</v>
      </c>
      <c r="N12" s="32" t="s">
        <v>76</v>
      </c>
      <c r="O12" s="33" t="s">
        <v>77</v>
      </c>
      <c r="P12" s="34" t="s">
        <v>78</v>
      </c>
    </row>
    <row r="13" spans="1:16" ht="12.75" customHeight="1" thickBot="1" x14ac:dyDescent="0.25">
      <c r="A13" s="8" t="str">
        <f t="shared" si="0"/>
        <v>IBVS 5364 </v>
      </c>
      <c r="B13" s="2" t="str">
        <f t="shared" si="1"/>
        <v>I</v>
      </c>
      <c r="C13" s="8">
        <f t="shared" si="2"/>
        <v>52472.494299999998</v>
      </c>
      <c r="D13" s="12" t="str">
        <f t="shared" si="3"/>
        <v>vis</v>
      </c>
      <c r="E13" s="30">
        <f>VLOOKUP(C13,Active!C$21:E$973,3,FALSE)</f>
        <v>28533.038499637765</v>
      </c>
      <c r="F13" s="2" t="s">
        <v>64</v>
      </c>
      <c r="G13" s="12" t="str">
        <f t="shared" si="4"/>
        <v>52472.4943</v>
      </c>
      <c r="H13" s="8">
        <f t="shared" si="5"/>
        <v>28533</v>
      </c>
      <c r="I13" s="31" t="s">
        <v>79</v>
      </c>
      <c r="J13" s="32" t="s">
        <v>80</v>
      </c>
      <c r="K13" s="31">
        <v>28533</v>
      </c>
      <c r="L13" s="31" t="s">
        <v>81</v>
      </c>
      <c r="M13" s="32" t="s">
        <v>69</v>
      </c>
      <c r="N13" s="32" t="s">
        <v>76</v>
      </c>
      <c r="O13" s="33" t="s">
        <v>77</v>
      </c>
      <c r="P13" s="34" t="s">
        <v>78</v>
      </c>
    </row>
    <row r="14" spans="1:16" ht="12.75" customHeight="1" thickBot="1" x14ac:dyDescent="0.25">
      <c r="A14" s="8" t="str">
        <f t="shared" si="0"/>
        <v>IBVS 5583 </v>
      </c>
      <c r="B14" s="2" t="str">
        <f t="shared" si="1"/>
        <v>II</v>
      </c>
      <c r="C14" s="8">
        <f t="shared" si="2"/>
        <v>52524.3125</v>
      </c>
      <c r="D14" s="12" t="str">
        <f t="shared" si="3"/>
        <v>vis</v>
      </c>
      <c r="E14" s="30">
        <f>VLOOKUP(C14,Active!C$21:E$973,3,FALSE)</f>
        <v>28724.569022872096</v>
      </c>
      <c r="F14" s="2" t="s">
        <v>64</v>
      </c>
      <c r="G14" s="12" t="str">
        <f t="shared" si="4"/>
        <v>52524.3125</v>
      </c>
      <c r="H14" s="8">
        <f t="shared" si="5"/>
        <v>28724.5</v>
      </c>
      <c r="I14" s="31" t="s">
        <v>82</v>
      </c>
      <c r="J14" s="32" t="s">
        <v>83</v>
      </c>
      <c r="K14" s="31">
        <v>28724.5</v>
      </c>
      <c r="L14" s="31" t="s">
        <v>84</v>
      </c>
      <c r="M14" s="32" t="s">
        <v>69</v>
      </c>
      <c r="N14" s="32" t="s">
        <v>70</v>
      </c>
      <c r="O14" s="33" t="s">
        <v>71</v>
      </c>
      <c r="P14" s="34" t="s">
        <v>72</v>
      </c>
    </row>
    <row r="15" spans="1:16" ht="12.75" customHeight="1" thickBot="1" x14ac:dyDescent="0.25">
      <c r="A15" s="8" t="str">
        <f t="shared" si="0"/>
        <v>IBVS 5690 </v>
      </c>
      <c r="B15" s="2" t="str">
        <f t="shared" si="1"/>
        <v>I</v>
      </c>
      <c r="C15" s="8">
        <f t="shared" si="2"/>
        <v>53528.941400000003</v>
      </c>
      <c r="D15" s="12" t="str">
        <f t="shared" si="3"/>
        <v>vis</v>
      </c>
      <c r="E15" s="30">
        <f>VLOOKUP(C15,Active!C$21:E$973,3,FALSE)</f>
        <v>32437.880154353399</v>
      </c>
      <c r="F15" s="2" t="s">
        <v>64</v>
      </c>
      <c r="G15" s="12" t="str">
        <f t="shared" si="4"/>
        <v>53528.9414</v>
      </c>
      <c r="H15" s="8">
        <f t="shared" si="5"/>
        <v>32438</v>
      </c>
      <c r="I15" s="31" t="s">
        <v>96</v>
      </c>
      <c r="J15" s="32" t="s">
        <v>97</v>
      </c>
      <c r="K15" s="31">
        <v>32438</v>
      </c>
      <c r="L15" s="31" t="s">
        <v>98</v>
      </c>
      <c r="M15" s="32" t="s">
        <v>69</v>
      </c>
      <c r="N15" s="32" t="s">
        <v>76</v>
      </c>
      <c r="O15" s="33" t="s">
        <v>99</v>
      </c>
      <c r="P15" s="34" t="s">
        <v>100</v>
      </c>
    </row>
    <row r="16" spans="1:16" ht="12.75" customHeight="1" thickBot="1" x14ac:dyDescent="0.25">
      <c r="A16" s="8" t="str">
        <f t="shared" si="0"/>
        <v>IBVS 5945 </v>
      </c>
      <c r="B16" s="2" t="str">
        <f t="shared" si="1"/>
        <v>I</v>
      </c>
      <c r="C16" s="8">
        <f t="shared" si="2"/>
        <v>55340.821199999998</v>
      </c>
      <c r="D16" s="12" t="str">
        <f t="shared" si="3"/>
        <v>vis</v>
      </c>
      <c r="E16" s="30">
        <f>VLOOKUP(C16,Active!C$21:E$973,3,FALSE)</f>
        <v>39134.953501781565</v>
      </c>
      <c r="F16" s="2" t="s">
        <v>64</v>
      </c>
      <c r="G16" s="12" t="str">
        <f t="shared" si="4"/>
        <v>55340.8212</v>
      </c>
      <c r="H16" s="8">
        <f t="shared" si="5"/>
        <v>39135</v>
      </c>
      <c r="I16" s="31" t="s">
        <v>107</v>
      </c>
      <c r="J16" s="32" t="s">
        <v>108</v>
      </c>
      <c r="K16" s="31">
        <v>39135</v>
      </c>
      <c r="L16" s="31" t="s">
        <v>109</v>
      </c>
      <c r="M16" s="32" t="s">
        <v>104</v>
      </c>
      <c r="N16" s="32" t="s">
        <v>64</v>
      </c>
      <c r="O16" s="33" t="s">
        <v>110</v>
      </c>
      <c r="P16" s="34" t="s">
        <v>111</v>
      </c>
    </row>
    <row r="17" spans="1:16" ht="12.75" customHeight="1" thickBot="1" x14ac:dyDescent="0.25">
      <c r="A17" s="8" t="str">
        <f t="shared" si="0"/>
        <v>IBVS 5741 </v>
      </c>
      <c r="B17" s="2" t="str">
        <f t="shared" si="1"/>
        <v>I</v>
      </c>
      <c r="C17" s="8">
        <f t="shared" si="2"/>
        <v>53224.415099999998</v>
      </c>
      <c r="D17" s="12" t="str">
        <f t="shared" si="3"/>
        <v>vis</v>
      </c>
      <c r="E17" s="30">
        <f>VLOOKUP(C17,Active!C$21:E$973,3,FALSE)</f>
        <v>31312.289501308449</v>
      </c>
      <c r="F17" s="2" t="s">
        <v>64</v>
      </c>
      <c r="G17" s="12" t="str">
        <f t="shared" si="4"/>
        <v>53224.4151</v>
      </c>
      <c r="H17" s="8">
        <f t="shared" si="5"/>
        <v>31312</v>
      </c>
      <c r="I17" s="31" t="s">
        <v>85</v>
      </c>
      <c r="J17" s="32" t="s">
        <v>86</v>
      </c>
      <c r="K17" s="31">
        <v>31312</v>
      </c>
      <c r="L17" s="31" t="s">
        <v>87</v>
      </c>
      <c r="M17" s="32" t="s">
        <v>69</v>
      </c>
      <c r="N17" s="32" t="s">
        <v>76</v>
      </c>
      <c r="O17" s="33" t="s">
        <v>88</v>
      </c>
      <c r="P17" s="34" t="s">
        <v>89</v>
      </c>
    </row>
    <row r="18" spans="1:16" ht="12.75" customHeight="1" thickBot="1" x14ac:dyDescent="0.25">
      <c r="A18" s="8" t="str">
        <f t="shared" si="0"/>
        <v>IBVS 5741 </v>
      </c>
      <c r="B18" s="2" t="str">
        <f t="shared" si="1"/>
        <v>I</v>
      </c>
      <c r="C18" s="8">
        <f t="shared" si="2"/>
        <v>53228.338100000001</v>
      </c>
      <c r="D18" s="12" t="str">
        <f t="shared" si="3"/>
        <v>vis</v>
      </c>
      <c r="E18" s="30">
        <f>VLOOKUP(C18,Active!C$21:E$973,3,FALSE)</f>
        <v>31326.789700903355</v>
      </c>
      <c r="F18" s="2" t="s">
        <v>64</v>
      </c>
      <c r="G18" s="12" t="str">
        <f t="shared" si="4"/>
        <v>53228.3381</v>
      </c>
      <c r="H18" s="8">
        <f t="shared" si="5"/>
        <v>31327</v>
      </c>
      <c r="I18" s="31" t="s">
        <v>90</v>
      </c>
      <c r="J18" s="32" t="s">
        <v>91</v>
      </c>
      <c r="K18" s="31">
        <v>31327</v>
      </c>
      <c r="L18" s="31" t="s">
        <v>92</v>
      </c>
      <c r="M18" s="32" t="s">
        <v>69</v>
      </c>
      <c r="N18" s="32" t="s">
        <v>76</v>
      </c>
      <c r="O18" s="33" t="s">
        <v>88</v>
      </c>
      <c r="P18" s="34" t="s">
        <v>89</v>
      </c>
    </row>
    <row r="19" spans="1:16" ht="12.75" customHeight="1" thickBot="1" x14ac:dyDescent="0.25">
      <c r="A19" s="8" t="str">
        <f t="shared" si="0"/>
        <v>IBVS 5741 </v>
      </c>
      <c r="B19" s="2" t="str">
        <f t="shared" si="1"/>
        <v>I</v>
      </c>
      <c r="C19" s="8">
        <f t="shared" si="2"/>
        <v>53228.4735</v>
      </c>
      <c r="D19" s="12" t="str">
        <f t="shared" si="3"/>
        <v>vis</v>
      </c>
      <c r="E19" s="30">
        <f>VLOOKUP(C19,Active!C$21:E$973,3,FALSE)</f>
        <v>31327.290166624778</v>
      </c>
      <c r="F19" s="2" t="s">
        <v>64</v>
      </c>
      <c r="G19" s="12" t="str">
        <f t="shared" si="4"/>
        <v>53228.4735</v>
      </c>
      <c r="H19" s="8">
        <f t="shared" si="5"/>
        <v>31327</v>
      </c>
      <c r="I19" s="31" t="s">
        <v>93</v>
      </c>
      <c r="J19" s="32" t="s">
        <v>94</v>
      </c>
      <c r="K19" s="31">
        <v>31327</v>
      </c>
      <c r="L19" s="31" t="s">
        <v>95</v>
      </c>
      <c r="M19" s="32" t="s">
        <v>69</v>
      </c>
      <c r="N19" s="32" t="s">
        <v>76</v>
      </c>
      <c r="O19" s="33" t="s">
        <v>88</v>
      </c>
      <c r="P19" s="34" t="s">
        <v>89</v>
      </c>
    </row>
    <row r="20" spans="1:16" ht="12.75" customHeight="1" thickBot="1" x14ac:dyDescent="0.25">
      <c r="A20" s="8" t="str">
        <f t="shared" si="0"/>
        <v>VSB 48 </v>
      </c>
      <c r="B20" s="2" t="str">
        <f t="shared" si="1"/>
        <v>I</v>
      </c>
      <c r="C20" s="8">
        <f t="shared" si="2"/>
        <v>54593.232799999998</v>
      </c>
      <c r="D20" s="12" t="str">
        <f t="shared" si="3"/>
        <v>vis</v>
      </c>
      <c r="E20" s="30">
        <f>VLOOKUP(C20,Active!C$21:E$973,3,FALSE)</f>
        <v>36371.715924715754</v>
      </c>
      <c r="F20" s="2" t="s">
        <v>64</v>
      </c>
      <c r="G20" s="12" t="str">
        <f t="shared" si="4"/>
        <v>54593.2328</v>
      </c>
      <c r="H20" s="8">
        <f t="shared" si="5"/>
        <v>36372</v>
      </c>
      <c r="I20" s="31" t="s">
        <v>101</v>
      </c>
      <c r="J20" s="32" t="s">
        <v>102</v>
      </c>
      <c r="K20" s="31">
        <v>36372</v>
      </c>
      <c r="L20" s="31" t="s">
        <v>103</v>
      </c>
      <c r="M20" s="32" t="s">
        <v>104</v>
      </c>
      <c r="N20" s="32" t="s">
        <v>64</v>
      </c>
      <c r="O20" s="33" t="s">
        <v>105</v>
      </c>
      <c r="P20" s="34" t="s">
        <v>106</v>
      </c>
    </row>
    <row r="21" spans="1:16" x14ac:dyDescent="0.2">
      <c r="B21" s="2"/>
      <c r="E21" s="30"/>
      <c r="F21" s="2"/>
    </row>
    <row r="22" spans="1:16" x14ac:dyDescent="0.2">
      <c r="B22" s="2"/>
      <c r="E22" s="30"/>
      <c r="F22" s="2"/>
    </row>
    <row r="23" spans="1:16" x14ac:dyDescent="0.2">
      <c r="B23" s="2"/>
      <c r="E23" s="30"/>
      <c r="F23" s="2"/>
    </row>
    <row r="24" spans="1:16" x14ac:dyDescent="0.2">
      <c r="B24" s="2"/>
      <c r="E24" s="30"/>
      <c r="F24" s="2"/>
    </row>
    <row r="25" spans="1:16" x14ac:dyDescent="0.2">
      <c r="B25" s="2"/>
      <c r="E25" s="30"/>
      <c r="F25" s="2"/>
    </row>
    <row r="26" spans="1:16" x14ac:dyDescent="0.2">
      <c r="B26" s="2"/>
      <c r="E26" s="30"/>
      <c r="F26" s="2"/>
    </row>
    <row r="27" spans="1:16" x14ac:dyDescent="0.2">
      <c r="B27" s="2"/>
      <c r="E27" s="30"/>
      <c r="F27" s="2"/>
    </row>
    <row r="28" spans="1:16" x14ac:dyDescent="0.2">
      <c r="B28" s="2"/>
      <c r="E28" s="30"/>
      <c r="F28" s="2"/>
    </row>
    <row r="29" spans="1:16" x14ac:dyDescent="0.2">
      <c r="B29" s="2"/>
      <c r="E29" s="30"/>
      <c r="F29" s="2"/>
    </row>
    <row r="30" spans="1:16" x14ac:dyDescent="0.2">
      <c r="B30" s="2"/>
      <c r="E30" s="30"/>
      <c r="F30" s="2"/>
    </row>
    <row r="31" spans="1:16" x14ac:dyDescent="0.2">
      <c r="B31" s="2"/>
      <c r="E31" s="30"/>
      <c r="F31" s="2"/>
    </row>
    <row r="32" spans="1:16" x14ac:dyDescent="0.2">
      <c r="B32" s="2"/>
      <c r="E32" s="30"/>
      <c r="F32" s="2"/>
    </row>
    <row r="33" spans="2:6" x14ac:dyDescent="0.2">
      <c r="B33" s="2"/>
      <c r="E33" s="30"/>
      <c r="F33" s="2"/>
    </row>
    <row r="34" spans="2:6" x14ac:dyDescent="0.2">
      <c r="B34" s="2"/>
      <c r="E34" s="30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</sheetData>
  <phoneticPr fontId="7" type="noConversion"/>
  <hyperlinks>
    <hyperlink ref="P11" r:id="rId1" display="http://www.konkoly.hu/cgi-bin/IBVS?5583"/>
    <hyperlink ref="P12" r:id="rId2" display="http://www.konkoly.hu/cgi-bin/IBVS?5364"/>
    <hyperlink ref="P13" r:id="rId3" display="http://www.konkoly.hu/cgi-bin/IBVS?5364"/>
    <hyperlink ref="P14" r:id="rId4" display="http://www.konkoly.hu/cgi-bin/IBVS?5583"/>
    <hyperlink ref="P17" r:id="rId5" display="http://www.konkoly.hu/cgi-bin/IBVS?5741"/>
    <hyperlink ref="P18" r:id="rId6" display="http://www.konkoly.hu/cgi-bin/IBVS?5741"/>
    <hyperlink ref="P19" r:id="rId7" display="http://www.konkoly.hu/cgi-bin/IBVS?5741"/>
    <hyperlink ref="P15" r:id="rId8" display="http://www.konkoly.hu/cgi-bin/IBVS?5690"/>
    <hyperlink ref="P20" r:id="rId9" display="http://vsolj.cetus-net.org/no48.pdf"/>
    <hyperlink ref="P16" r:id="rId10" display="http://www.konkoly.hu/cgi-bin/IBVS?594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2024-03-05T05:52:19Z</dcterms:modified>
</cp:coreProperties>
</file>