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7D7C2A1-32AE-41AE-8020-46FEE87BE7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F16" i="1"/>
  <c r="C17" i="1"/>
  <c r="Q35" i="1"/>
  <c r="C11" i="1"/>
  <c r="C12" i="1"/>
  <c r="C16" i="1" l="1"/>
  <c r="D18" i="1" s="1"/>
  <c r="O27" i="1"/>
  <c r="O25" i="1"/>
  <c r="O23" i="1"/>
  <c r="O33" i="1"/>
  <c r="O32" i="1"/>
  <c r="O22" i="1"/>
  <c r="O24" i="1"/>
  <c r="O31" i="1"/>
  <c r="O28" i="1"/>
  <c r="O26" i="1"/>
  <c r="O34" i="1"/>
  <c r="O21" i="1"/>
  <c r="O30" i="1"/>
  <c r="C15" i="1"/>
  <c r="O29" i="1"/>
  <c r="O35" i="1"/>
  <c r="F17" i="1"/>
  <c r="C18" i="1" l="1"/>
  <c r="F18" i="1"/>
  <c r="F19" i="1" s="1"/>
</calcChain>
</file>

<file path=xl/sharedStrings.xml><?xml version="1.0" encoding="utf-8"?>
<sst xmlns="http://schemas.openxmlformats.org/spreadsheetml/2006/main" count="188" uniqueCount="96">
  <si>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</si>
  <si>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</si>
  <si>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</si>
  <si>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</si>
  <si>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</si>
  <si>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</si>
  <si>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</si>
  <si>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</si>
  <si>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</si>
  <si>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</si>
  <si>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</si>
  <si>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</si>
  <si>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</si>
  <si>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</si>
  <si>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</si>
  <si>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</si>
  <si>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</si>
  <si>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</si>
  <si>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</si>
  <si>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</si>
  <si>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</si>
  <si>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</si>
  <si>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</si>
  <si>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</si>
  <si>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</si>
  <si>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</si>
  <si>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</si>
  <si>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</si>
  <si>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</si>
  <si>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</si>
  <si>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</si>
  <si>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</si>
  <si>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</si>
  <si>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</si>
  <si>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</si>
  <si>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</si>
  <si>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</si>
  <si>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</si>
  <si>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</si>
  <si>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</si>
  <si>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</si>
  <si>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</si>
  <si>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</si>
  <si>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</si>
  <si>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</si>
  <si>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</si>
  <si>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</si>
  <si>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</si>
  <si>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FM Sct</t>
  </si>
  <si>
    <t>EA/KE:</t>
  </si>
  <si>
    <t>GCVS 4</t>
  </si>
  <si>
    <t>FM Sct / GSC 52501.124</t>
  </si>
  <si>
    <t>2427902.980 </t>
  </si>
  <si>
    <t> 10.04.1935 11:31 </t>
  </si>
  <si>
    <t> -0.008 </t>
  </si>
  <si>
    <t>P </t>
  </si>
  <si>
    <t> G.A.Bakos </t>
  </si>
  <si>
    <t> AOLD 20.190 </t>
  </si>
  <si>
    <t>2427953.805 </t>
  </si>
  <si>
    <t> 31.05.1935 07:19 </t>
  </si>
  <si>
    <t> 0.018 </t>
  </si>
  <si>
    <t>2427963.955 </t>
  </si>
  <si>
    <t> 10.06.1935 10:55 </t>
  </si>
  <si>
    <t> 0.008 </t>
  </si>
  <si>
    <t>2427984.292 </t>
  </si>
  <si>
    <t> 30.06.1935 19:00 </t>
  </si>
  <si>
    <t> 0.025 </t>
  </si>
  <si>
    <t>2427988.615 </t>
  </si>
  <si>
    <t> 05.07.1935 02:45 </t>
  </si>
  <si>
    <t> -0.006 </t>
  </si>
  <si>
    <t>2428043.726 </t>
  </si>
  <si>
    <t> 29.08.1935 05:25 </t>
  </si>
  <si>
    <t> -0.048 </t>
  </si>
  <si>
    <t>2428075.719 </t>
  </si>
  <si>
    <t> 30.09.1935 05:15 </t>
  </si>
  <si>
    <t> 0.014 </t>
  </si>
  <si>
    <t>2428833.290 </t>
  </si>
  <si>
    <t> 26.10.1937 18:57 </t>
  </si>
  <si>
    <t>2428836.283 </t>
  </si>
  <si>
    <t> 29.10.1937 18:47 </t>
  </si>
  <si>
    <t> 0.042 </t>
  </si>
  <si>
    <t>2429479.232 </t>
  </si>
  <si>
    <t> 03.08.1939 17:34 </t>
  </si>
  <si>
    <t> 0.019 </t>
  </si>
  <si>
    <t>2429492.282 </t>
  </si>
  <si>
    <t> 16.08.1939 18:46 </t>
  </si>
  <si>
    <t> 0.007 </t>
  </si>
  <si>
    <t>2429508.234 </t>
  </si>
  <si>
    <t> 01.09.1939 17:36 </t>
  </si>
  <si>
    <t> -0.007 </t>
  </si>
  <si>
    <t>2429521.296 </t>
  </si>
  <si>
    <t> 14.09.1939 19:06 </t>
  </si>
  <si>
    <t>2429553.232 </t>
  </si>
  <si>
    <t> 16.10.1939 17:34 </t>
  </si>
  <si>
    <t> -0.002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</si>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</sst>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FM Sct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-16948</c:v>
                </c:pt>
                <c:pt idx="1">
                  <c:v>-16913</c:v>
                </c:pt>
                <c:pt idx="2">
                  <c:v>-16906</c:v>
                </c:pt>
                <c:pt idx="3">
                  <c:v>-16892</c:v>
                </c:pt>
                <c:pt idx="4">
                  <c:v>-16889</c:v>
                </c:pt>
                <c:pt idx="5">
                  <c:v>-16851</c:v>
                </c:pt>
                <c:pt idx="6">
                  <c:v>-16829</c:v>
                </c:pt>
                <c:pt idx="7">
                  <c:v>-16307</c:v>
                </c:pt>
                <c:pt idx="8">
                  <c:v>-16305</c:v>
                </c:pt>
                <c:pt idx="9">
                  <c:v>-15862</c:v>
                </c:pt>
                <c:pt idx="10">
                  <c:v>-15853</c:v>
                </c:pt>
                <c:pt idx="11">
                  <c:v>-15842</c:v>
                </c:pt>
                <c:pt idx="12">
                  <c:v>-15833</c:v>
                </c:pt>
                <c:pt idx="13">
                  <c:v>-15811</c:v>
                </c:pt>
                <c:pt idx="14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-1.6786400003184099E-2</c:v>
                </c:pt>
                <c:pt idx="1">
                  <c:v>9.6265999964089133E-3</c:v>
                </c:pt>
                <c:pt idx="2">
                  <c:v>-9.0800000180024654E-5</c:v>
                </c:pt>
                <c:pt idx="3">
                  <c:v>1.7474399999628076E-2</c:v>
                </c:pt>
                <c:pt idx="4">
                  <c:v>-1.3690200001292396E-2</c:v>
                </c:pt>
                <c:pt idx="5">
                  <c:v>-5.5441800002881791E-2</c:v>
                </c:pt>
                <c:pt idx="6">
                  <c:v>7.017799998720875E-3</c:v>
                </c:pt>
                <c:pt idx="7">
                  <c:v>-4.6622600002592662E-2</c:v>
                </c:pt>
                <c:pt idx="8">
                  <c:v>4.3600999997579493E-2</c:v>
                </c:pt>
                <c:pt idx="9">
                  <c:v>2.762839999559219E-2</c:v>
                </c:pt>
                <c:pt idx="10">
                  <c:v>1.5134599994780729E-2</c:v>
                </c:pt>
                <c:pt idx="11">
                  <c:v>1.8643999974301551E-3</c:v>
                </c:pt>
                <c:pt idx="12">
                  <c:v>1.3705999954254366E-3</c:v>
                </c:pt>
                <c:pt idx="13">
                  <c:v>6.8301999963296112E-3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8C-4EF1-8599-8B3DCEE385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-16948</c:v>
                </c:pt>
                <c:pt idx="1">
                  <c:v>-16913</c:v>
                </c:pt>
                <c:pt idx="2">
                  <c:v>-16906</c:v>
                </c:pt>
                <c:pt idx="3">
                  <c:v>-16892</c:v>
                </c:pt>
                <c:pt idx="4">
                  <c:v>-16889</c:v>
                </c:pt>
                <c:pt idx="5">
                  <c:v>-16851</c:v>
                </c:pt>
                <c:pt idx="6">
                  <c:v>-16829</c:v>
                </c:pt>
                <c:pt idx="7">
                  <c:v>-16307</c:v>
                </c:pt>
                <c:pt idx="8">
                  <c:v>-16305</c:v>
                </c:pt>
                <c:pt idx="9">
                  <c:v>-15862</c:v>
                </c:pt>
                <c:pt idx="10">
                  <c:v>-15853</c:v>
                </c:pt>
                <c:pt idx="11">
                  <c:v>-15842</c:v>
                </c:pt>
                <c:pt idx="12">
                  <c:v>-15833</c:v>
                </c:pt>
                <c:pt idx="13">
                  <c:v>-15811</c:v>
                </c:pt>
                <c:pt idx="14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8C-4EF1-8599-8B3DCEE385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-16948</c:v>
                </c:pt>
                <c:pt idx="1">
                  <c:v>-16913</c:v>
                </c:pt>
                <c:pt idx="2">
                  <c:v>-16906</c:v>
                </c:pt>
                <c:pt idx="3">
                  <c:v>-16892</c:v>
                </c:pt>
                <c:pt idx="4">
                  <c:v>-16889</c:v>
                </c:pt>
                <c:pt idx="5">
                  <c:v>-16851</c:v>
                </c:pt>
                <c:pt idx="6">
                  <c:v>-16829</c:v>
                </c:pt>
                <c:pt idx="7">
                  <c:v>-16307</c:v>
                </c:pt>
                <c:pt idx="8">
                  <c:v>-16305</c:v>
                </c:pt>
                <c:pt idx="9">
                  <c:v>-15862</c:v>
                </c:pt>
                <c:pt idx="10">
                  <c:v>-15853</c:v>
                </c:pt>
                <c:pt idx="11">
                  <c:v>-15842</c:v>
                </c:pt>
                <c:pt idx="12">
                  <c:v>-15833</c:v>
                </c:pt>
                <c:pt idx="13">
                  <c:v>-15811</c:v>
                </c:pt>
                <c:pt idx="14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8C-4EF1-8599-8B3DCEE385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-16948</c:v>
                </c:pt>
                <c:pt idx="1">
                  <c:v>-16913</c:v>
                </c:pt>
                <c:pt idx="2">
                  <c:v>-16906</c:v>
                </c:pt>
                <c:pt idx="3">
                  <c:v>-16892</c:v>
                </c:pt>
                <c:pt idx="4">
                  <c:v>-16889</c:v>
                </c:pt>
                <c:pt idx="5">
                  <c:v>-16851</c:v>
                </c:pt>
                <c:pt idx="6">
                  <c:v>-16829</c:v>
                </c:pt>
                <c:pt idx="7">
                  <c:v>-16307</c:v>
                </c:pt>
                <c:pt idx="8">
                  <c:v>-16305</c:v>
                </c:pt>
                <c:pt idx="9">
                  <c:v>-15862</c:v>
                </c:pt>
                <c:pt idx="10">
                  <c:v>-15853</c:v>
                </c:pt>
                <c:pt idx="11">
                  <c:v>-15842</c:v>
                </c:pt>
                <c:pt idx="12">
                  <c:v>-15833</c:v>
                </c:pt>
                <c:pt idx="13">
                  <c:v>-15811</c:v>
                </c:pt>
                <c:pt idx="14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8C-4EF1-8599-8B3DCEE385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-16948</c:v>
                </c:pt>
                <c:pt idx="1">
                  <c:v>-16913</c:v>
                </c:pt>
                <c:pt idx="2">
                  <c:v>-16906</c:v>
                </c:pt>
                <c:pt idx="3">
                  <c:v>-16892</c:v>
                </c:pt>
                <c:pt idx="4">
                  <c:v>-16889</c:v>
                </c:pt>
                <c:pt idx="5">
                  <c:v>-16851</c:v>
                </c:pt>
                <c:pt idx="6">
                  <c:v>-16829</c:v>
                </c:pt>
                <c:pt idx="7">
                  <c:v>-16307</c:v>
                </c:pt>
                <c:pt idx="8">
                  <c:v>-16305</c:v>
                </c:pt>
                <c:pt idx="9">
                  <c:v>-15862</c:v>
                </c:pt>
                <c:pt idx="10">
                  <c:v>-15853</c:v>
                </c:pt>
                <c:pt idx="11">
                  <c:v>-15842</c:v>
                </c:pt>
                <c:pt idx="12">
                  <c:v>-15833</c:v>
                </c:pt>
                <c:pt idx="13">
                  <c:v>-15811</c:v>
                </c:pt>
                <c:pt idx="14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8C-4EF1-8599-8B3DCEE385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-16948</c:v>
                </c:pt>
                <c:pt idx="1">
                  <c:v>-16913</c:v>
                </c:pt>
                <c:pt idx="2">
                  <c:v>-16906</c:v>
                </c:pt>
                <c:pt idx="3">
                  <c:v>-16892</c:v>
                </c:pt>
                <c:pt idx="4">
                  <c:v>-16889</c:v>
                </c:pt>
                <c:pt idx="5">
                  <c:v>-16851</c:v>
                </c:pt>
                <c:pt idx="6">
                  <c:v>-16829</c:v>
                </c:pt>
                <c:pt idx="7">
                  <c:v>-16307</c:v>
                </c:pt>
                <c:pt idx="8">
                  <c:v>-16305</c:v>
                </c:pt>
                <c:pt idx="9">
                  <c:v>-15862</c:v>
                </c:pt>
                <c:pt idx="10">
                  <c:v>-15853</c:v>
                </c:pt>
                <c:pt idx="11">
                  <c:v>-15842</c:v>
                </c:pt>
                <c:pt idx="12">
                  <c:v>-15833</c:v>
                </c:pt>
                <c:pt idx="13">
                  <c:v>-15811</c:v>
                </c:pt>
                <c:pt idx="14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8C-4EF1-8599-8B3DCEE385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-16948</c:v>
                </c:pt>
                <c:pt idx="1">
                  <c:v>-16913</c:v>
                </c:pt>
                <c:pt idx="2">
                  <c:v>-16906</c:v>
                </c:pt>
                <c:pt idx="3">
                  <c:v>-16892</c:v>
                </c:pt>
                <c:pt idx="4">
                  <c:v>-16889</c:v>
                </c:pt>
                <c:pt idx="5">
                  <c:v>-16851</c:v>
                </c:pt>
                <c:pt idx="6">
                  <c:v>-16829</c:v>
                </c:pt>
                <c:pt idx="7">
                  <c:v>-16307</c:v>
                </c:pt>
                <c:pt idx="8">
                  <c:v>-16305</c:v>
                </c:pt>
                <c:pt idx="9">
                  <c:v>-15862</c:v>
                </c:pt>
                <c:pt idx="10">
                  <c:v>-15853</c:v>
                </c:pt>
                <c:pt idx="11">
                  <c:v>-15842</c:v>
                </c:pt>
                <c:pt idx="12">
                  <c:v>-15833</c:v>
                </c:pt>
                <c:pt idx="13">
                  <c:v>-15811</c:v>
                </c:pt>
                <c:pt idx="14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8C-4EF1-8599-8B3DCEE385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-16948</c:v>
                </c:pt>
                <c:pt idx="1">
                  <c:v>-16913</c:v>
                </c:pt>
                <c:pt idx="2">
                  <c:v>-16906</c:v>
                </c:pt>
                <c:pt idx="3">
                  <c:v>-16892</c:v>
                </c:pt>
                <c:pt idx="4">
                  <c:v>-16889</c:v>
                </c:pt>
                <c:pt idx="5">
                  <c:v>-16851</c:v>
                </c:pt>
                <c:pt idx="6">
                  <c:v>-16829</c:v>
                </c:pt>
                <c:pt idx="7">
                  <c:v>-16307</c:v>
                </c:pt>
                <c:pt idx="8">
                  <c:v>-16305</c:v>
                </c:pt>
                <c:pt idx="9">
                  <c:v>-15862</c:v>
                </c:pt>
                <c:pt idx="10">
                  <c:v>-15853</c:v>
                </c:pt>
                <c:pt idx="11">
                  <c:v>-15842</c:v>
                </c:pt>
                <c:pt idx="12">
                  <c:v>-15833</c:v>
                </c:pt>
                <c:pt idx="13">
                  <c:v>-15811</c:v>
                </c:pt>
                <c:pt idx="14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-4.887930340258099E-4</c:v>
                </c:pt>
                <c:pt idx="1">
                  <c:v>-4.8119622102588003E-4</c:v>
                </c:pt>
                <c:pt idx="2">
                  <c:v>-4.7967685842589423E-4</c:v>
                </c:pt>
                <c:pt idx="3">
                  <c:v>-4.766381332259222E-4</c:v>
                </c:pt>
                <c:pt idx="4">
                  <c:v>-4.7598697782592816E-4</c:v>
                </c:pt>
                <c:pt idx="5">
                  <c:v>-4.6773900942600382E-4</c:v>
                </c:pt>
                <c:pt idx="6">
                  <c:v>-4.6296386982604782E-4</c:v>
                </c:pt>
                <c:pt idx="7">
                  <c:v>-3.4966283022709165E-4</c:v>
                </c:pt>
                <c:pt idx="8">
                  <c:v>-3.4922872662709577E-4</c:v>
                </c:pt>
                <c:pt idx="9">
                  <c:v>-2.5307477922798102E-4</c:v>
                </c:pt>
                <c:pt idx="10">
                  <c:v>-2.5112131302799934E-4</c:v>
                </c:pt>
                <c:pt idx="11">
                  <c:v>-2.4873374322802134E-4</c:v>
                </c:pt>
                <c:pt idx="12">
                  <c:v>-2.4678027702803923E-4</c:v>
                </c:pt>
                <c:pt idx="13">
                  <c:v>-2.4200513742808323E-4</c:v>
                </c:pt>
                <c:pt idx="14">
                  <c:v>3.1898008723403081E-3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8C-4EF1-8599-8B3DCEE385D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-16948</c:v>
                </c:pt>
                <c:pt idx="1">
                  <c:v>-16913</c:v>
                </c:pt>
                <c:pt idx="2">
                  <c:v>-16906</c:v>
                </c:pt>
                <c:pt idx="3">
                  <c:v>-16892</c:v>
                </c:pt>
                <c:pt idx="4">
                  <c:v>-16889</c:v>
                </c:pt>
                <c:pt idx="5">
                  <c:v>-16851</c:v>
                </c:pt>
                <c:pt idx="6">
                  <c:v>-16829</c:v>
                </c:pt>
                <c:pt idx="7">
                  <c:v>-16307</c:v>
                </c:pt>
                <c:pt idx="8">
                  <c:v>-16305</c:v>
                </c:pt>
                <c:pt idx="9">
                  <c:v>-15862</c:v>
                </c:pt>
                <c:pt idx="10">
                  <c:v>-15853</c:v>
                </c:pt>
                <c:pt idx="11">
                  <c:v>-15842</c:v>
                </c:pt>
                <c:pt idx="12">
                  <c:v>-15833</c:v>
                </c:pt>
                <c:pt idx="13">
                  <c:v>-15811</c:v>
                </c:pt>
                <c:pt idx="14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8C-4EF1-8599-8B3DCEE3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983136"/>
        <c:axId val="1"/>
      </c:scatterChart>
      <c:valAx>
        <c:axId val="729983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983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ABCF6F4-7D19-E646-60B6-498421CD2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6" customFormat="1" ht="20.25" x14ac:dyDescent="0.2">
      <c r="A1" s="56" t="s">
        <v>51</v>
      </c>
      <c r="F1" s="20" t="s">
        <v>48</v>
      </c>
      <c r="G1" s="21">
        <v>18.505310000000001</v>
      </c>
      <c r="H1" s="22">
        <v>-8.3110999999999997</v>
      </c>
      <c r="I1" s="6">
        <v>52501.124000000003</v>
      </c>
      <c r="J1" s="6">
        <v>1.4513882</v>
      </c>
      <c r="K1" s="23" t="s">
        <v>49</v>
      </c>
      <c r="L1" s="5"/>
      <c r="M1" s="6">
        <v>52501.124000000003</v>
      </c>
      <c r="N1" s="6">
        <v>1.4513882</v>
      </c>
      <c r="O1" s="7" t="s">
        <v>49</v>
      </c>
    </row>
    <row r="2" spans="1:15" s="26" customFormat="1" ht="12.95" customHeight="1" x14ac:dyDescent="0.2">
      <c r="A2" s="26" t="s">
        <v>23</v>
      </c>
      <c r="B2" s="26" t="s">
        <v>49</v>
      </c>
      <c r="C2" s="27"/>
      <c r="D2" s="28"/>
    </row>
    <row r="3" spans="1:15" s="26" customFormat="1" ht="12.95" customHeight="1" thickBot="1" x14ac:dyDescent="0.25"/>
    <row r="4" spans="1:15" s="26" customFormat="1" ht="12.95" customHeight="1" thickTop="1" thickBot="1" x14ac:dyDescent="0.25">
      <c r="A4" s="29" t="s">
        <v>0</v>
      </c>
      <c r="C4" s="30">
        <v>28833.338</v>
      </c>
      <c r="D4" s="31">
        <v>1.4514039999999999</v>
      </c>
    </row>
    <row r="5" spans="1:15" s="26" customFormat="1" ht="12.95" customHeight="1" thickTop="1" x14ac:dyDescent="0.2">
      <c r="A5" s="32" t="s">
        <v>28</v>
      </c>
      <c r="C5" s="33">
        <v>-9.5</v>
      </c>
      <c r="D5" s="26" t="s">
        <v>29</v>
      </c>
    </row>
    <row r="6" spans="1:15" s="26" customFormat="1" ht="12.95" customHeight="1" x14ac:dyDescent="0.2">
      <c r="A6" s="29" t="s">
        <v>1</v>
      </c>
    </row>
    <row r="7" spans="1:15" s="26" customFormat="1" ht="12.95" customHeight="1" x14ac:dyDescent="0.2">
      <c r="A7" s="26" t="s">
        <v>2</v>
      </c>
      <c r="C7" s="57">
        <v>52501.124000000003</v>
      </c>
      <c r="D7" s="35" t="s">
        <v>50</v>
      </c>
    </row>
    <row r="8" spans="1:15" s="26" customFormat="1" ht="12.95" customHeight="1" x14ac:dyDescent="0.2">
      <c r="A8" s="26" t="s">
        <v>3</v>
      </c>
      <c r="C8" s="57">
        <v>1.4513882</v>
      </c>
      <c r="D8" s="35" t="s">
        <v>50</v>
      </c>
    </row>
    <row r="9" spans="1:15" s="26" customFormat="1" ht="12.95" customHeight="1" x14ac:dyDescent="0.2">
      <c r="A9" s="36" t="s">
        <v>32</v>
      </c>
      <c r="C9" s="37">
        <v>21</v>
      </c>
      <c r="D9" s="38" t="str">
        <f>"F"&amp;C9</f>
        <v>F21</v>
      </c>
      <c r="E9" s="39" t="str">
        <f>"G"&amp;C9</f>
        <v>G21</v>
      </c>
    </row>
    <row r="10" spans="1:15" s="26" customFormat="1" ht="12.95" customHeight="1" thickBot="1" x14ac:dyDescent="0.25">
      <c r="C10" s="40" t="s">
        <v>19</v>
      </c>
      <c r="D10" s="40" t="s">
        <v>20</v>
      </c>
    </row>
    <row r="11" spans="1:15" s="26" customFormat="1" ht="12.95" customHeight="1" x14ac:dyDescent="0.2">
      <c r="A11" s="26" t="s">
        <v>15</v>
      </c>
      <c r="C11" s="39">
        <f ca="1">INTERCEPT(INDIRECT($E$9):G992,INDIRECT($D$9):F992)</f>
        <v>3.1898008723403081E-3</v>
      </c>
      <c r="D11" s="28"/>
    </row>
    <row r="12" spans="1:15" s="26" customFormat="1" ht="12.95" customHeight="1" x14ac:dyDescent="0.2">
      <c r="A12" s="26" t="s">
        <v>16</v>
      </c>
      <c r="C12" s="39">
        <f ca="1">SLOPE(INDIRECT($E$9):G992,INDIRECT($D$9):F992)</f>
        <v>2.1705179999800084E-7</v>
      </c>
      <c r="D12" s="28"/>
    </row>
    <row r="13" spans="1:15" s="26" customFormat="1" ht="12.95" customHeight="1" x14ac:dyDescent="0.2">
      <c r="A13" s="26" t="s">
        <v>18</v>
      </c>
      <c r="C13" s="28" t="s">
        <v>13</v>
      </c>
    </row>
    <row r="14" spans="1:15" s="26" customFormat="1" ht="12.95" customHeight="1" x14ac:dyDescent="0.2"/>
    <row r="15" spans="1:15" s="26" customFormat="1" ht="12.95" customHeight="1" x14ac:dyDescent="0.2">
      <c r="A15" s="41" t="s">
        <v>17</v>
      </c>
      <c r="C15" s="42">
        <f ca="1">(C7+C11)+(C8+C12)*INT(MAX(F21:F3533))</f>
        <v>52501.127189800878</v>
      </c>
      <c r="E15" s="43" t="s">
        <v>34</v>
      </c>
      <c r="F15" s="44">
        <v>1</v>
      </c>
    </row>
    <row r="16" spans="1:15" s="26" customFormat="1" ht="12.95" customHeight="1" x14ac:dyDescent="0.2">
      <c r="A16" s="29" t="s">
        <v>4</v>
      </c>
      <c r="C16" s="45">
        <f ca="1">+C8+C12</f>
        <v>1.4513884170518001</v>
      </c>
      <c r="E16" s="43" t="s">
        <v>30</v>
      </c>
      <c r="F16" s="45">
        <f ca="1">NOW()+15018.5+$C$5/24</f>
        <v>60374.786969907407</v>
      </c>
    </row>
    <row r="17" spans="1:18" s="26" customFormat="1" ht="12.95" customHeight="1" thickBot="1" x14ac:dyDescent="0.25">
      <c r="A17" s="43" t="s">
        <v>27</v>
      </c>
      <c r="C17" s="26">
        <f>COUNT(C21:C2191)</f>
        <v>15</v>
      </c>
      <c r="E17" s="43" t="s">
        <v>35</v>
      </c>
      <c r="F17" s="46">
        <f ca="1">ROUND(2*(F16-$C$7)/$C$8,0)/2+F15</f>
        <v>5426</v>
      </c>
    </row>
    <row r="18" spans="1:18" s="26" customFormat="1" ht="12.95" customHeight="1" thickTop="1" thickBot="1" x14ac:dyDescent="0.25">
      <c r="A18" s="29" t="s">
        <v>5</v>
      </c>
      <c r="C18" s="47">
        <f ca="1">+C15</f>
        <v>52501.127189800878</v>
      </c>
      <c r="D18" s="48">
        <f ca="1">+C16</f>
        <v>1.4513884170518001</v>
      </c>
      <c r="E18" s="43" t="s">
        <v>36</v>
      </c>
      <c r="F18" s="39">
        <f ca="1">ROUND(2*(F16-$C$15)/$C$16,0)/2+F15</f>
        <v>5426</v>
      </c>
    </row>
    <row r="19" spans="1:18" s="26" customFormat="1" ht="12.95" customHeight="1" thickTop="1" x14ac:dyDescent="0.2">
      <c r="E19" s="43" t="s">
        <v>31</v>
      </c>
      <c r="F19" s="49">
        <f ca="1">+$C$15+$C$16*F18-15018.5-$C$5/24</f>
        <v>45358.256574057283</v>
      </c>
    </row>
    <row r="20" spans="1:18" s="26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12</v>
      </c>
      <c r="E20" s="40" t="s">
        <v>9</v>
      </c>
      <c r="F20" s="40" t="s">
        <v>10</v>
      </c>
      <c r="G20" s="40" t="s">
        <v>11</v>
      </c>
      <c r="H20" s="50" t="s">
        <v>37</v>
      </c>
      <c r="I20" s="50" t="s">
        <v>38</v>
      </c>
      <c r="J20" s="50" t="s">
        <v>39</v>
      </c>
      <c r="K20" s="50" t="s">
        <v>40</v>
      </c>
      <c r="L20" s="50" t="s">
        <v>24</v>
      </c>
      <c r="M20" s="50" t="s">
        <v>25</v>
      </c>
      <c r="N20" s="50" t="s">
        <v>26</v>
      </c>
      <c r="O20" s="50" t="s">
        <v>22</v>
      </c>
      <c r="P20" s="51" t="s">
        <v>21</v>
      </c>
      <c r="Q20" s="40" t="s">
        <v>14</v>
      </c>
      <c r="R20" s="52" t="s">
        <v>33</v>
      </c>
    </row>
    <row r="21" spans="1:18" s="26" customFormat="1" ht="12.95" customHeight="1" x14ac:dyDescent="0.2">
      <c r="A21" s="53" t="s">
        <v>57</v>
      </c>
      <c r="B21" s="53" t="s">
        <v>95</v>
      </c>
      <c r="C21" s="54">
        <v>27902.98</v>
      </c>
      <c r="D21" s="34"/>
      <c r="E21" s="26">
        <f t="shared" ref="E21:E35" si="0">+(C21-C$7)/C$8</f>
        <v>-16948.011565754776</v>
      </c>
      <c r="F21" s="26">
        <f t="shared" ref="F21:F35" si="1">ROUND(2*E21,0)/2</f>
        <v>-16948</v>
      </c>
      <c r="G21" s="26">
        <f t="shared" ref="G21:G35" si="2">+C21-(C$7+F21*C$8)</f>
        <v>-1.6786400003184099E-2</v>
      </c>
      <c r="H21" s="26">
        <f t="shared" ref="H21:H35" si="3">+G21</f>
        <v>-1.6786400003184099E-2</v>
      </c>
      <c r="O21" s="26">
        <f t="shared" ref="O21:O35" ca="1" si="4">+C$11+C$12*$F21</f>
        <v>-4.887930340258099E-4</v>
      </c>
      <c r="Q21" s="55">
        <f t="shared" ref="Q21:Q35" si="5">+C21-15018.5</f>
        <v>12884.48</v>
      </c>
    </row>
    <row r="22" spans="1:18" s="26" customFormat="1" ht="12.95" customHeight="1" x14ac:dyDescent="0.2">
      <c r="A22" s="53" t="s">
        <v>57</v>
      </c>
      <c r="B22" s="53" t="s">
        <v>95</v>
      </c>
      <c r="C22" s="54">
        <v>27953.805</v>
      </c>
      <c r="D22" s="34"/>
      <c r="E22" s="26">
        <f t="shared" si="0"/>
        <v>-16912.993367315514</v>
      </c>
      <c r="F22" s="26">
        <f t="shared" si="1"/>
        <v>-16913</v>
      </c>
      <c r="G22" s="26">
        <f t="shared" si="2"/>
        <v>9.6265999964089133E-3</v>
      </c>
      <c r="H22" s="26">
        <f t="shared" si="3"/>
        <v>9.6265999964089133E-3</v>
      </c>
      <c r="O22" s="26">
        <f t="shared" ca="1" si="4"/>
        <v>-4.8119622102588003E-4</v>
      </c>
      <c r="Q22" s="55">
        <f t="shared" si="5"/>
        <v>12935.305</v>
      </c>
    </row>
    <row r="23" spans="1:18" s="26" customFormat="1" ht="12.95" customHeight="1" x14ac:dyDescent="0.2">
      <c r="A23" s="53" t="s">
        <v>57</v>
      </c>
      <c r="B23" s="53" t="s">
        <v>95</v>
      </c>
      <c r="C23" s="54">
        <v>27963.955000000002</v>
      </c>
      <c r="D23" s="34"/>
      <c r="E23" s="26">
        <f t="shared" si="0"/>
        <v>-16906.000062560797</v>
      </c>
      <c r="F23" s="26">
        <f t="shared" si="1"/>
        <v>-16906</v>
      </c>
      <c r="G23" s="26">
        <f t="shared" si="2"/>
        <v>-9.0800000180024654E-5</v>
      </c>
      <c r="H23" s="26">
        <f t="shared" si="3"/>
        <v>-9.0800000180024654E-5</v>
      </c>
      <c r="O23" s="26">
        <f t="shared" ca="1" si="4"/>
        <v>-4.7967685842589423E-4</v>
      </c>
      <c r="Q23" s="55">
        <f t="shared" si="5"/>
        <v>12945.455000000002</v>
      </c>
    </row>
    <row r="24" spans="1:18" s="26" customFormat="1" ht="12.95" customHeight="1" x14ac:dyDescent="0.2">
      <c r="A24" s="53" t="s">
        <v>57</v>
      </c>
      <c r="B24" s="53" t="s">
        <v>95</v>
      </c>
      <c r="C24" s="54">
        <v>27984.292000000001</v>
      </c>
      <c r="D24" s="34"/>
      <c r="E24" s="26">
        <f t="shared" si="0"/>
        <v>-16891.987960216295</v>
      </c>
      <c r="F24" s="26">
        <f t="shared" si="1"/>
        <v>-16892</v>
      </c>
      <c r="G24" s="26">
        <f t="shared" si="2"/>
        <v>1.7474399999628076E-2</v>
      </c>
      <c r="H24" s="26">
        <f t="shared" si="3"/>
        <v>1.7474399999628076E-2</v>
      </c>
      <c r="O24" s="26">
        <f t="shared" ca="1" si="4"/>
        <v>-4.766381332259222E-4</v>
      </c>
      <c r="Q24" s="55">
        <f t="shared" si="5"/>
        <v>12965.792000000001</v>
      </c>
    </row>
    <row r="25" spans="1:18" s="26" customFormat="1" ht="12.95" customHeight="1" x14ac:dyDescent="0.2">
      <c r="A25" s="53" t="s">
        <v>57</v>
      </c>
      <c r="B25" s="53" t="s">
        <v>95</v>
      </c>
      <c r="C25" s="54">
        <v>27988.615000000002</v>
      </c>
      <c r="D25" s="34"/>
      <c r="E25" s="26">
        <f t="shared" si="0"/>
        <v>-16889.009432486775</v>
      </c>
      <c r="F25" s="26">
        <f t="shared" si="1"/>
        <v>-16889</v>
      </c>
      <c r="G25" s="26">
        <f t="shared" si="2"/>
        <v>-1.3690200001292396E-2</v>
      </c>
      <c r="H25" s="26">
        <f t="shared" si="3"/>
        <v>-1.3690200001292396E-2</v>
      </c>
      <c r="O25" s="26">
        <f t="shared" ca="1" si="4"/>
        <v>-4.7598697782592816E-4</v>
      </c>
      <c r="Q25" s="55">
        <f t="shared" si="5"/>
        <v>12970.115000000002</v>
      </c>
    </row>
    <row r="26" spans="1:18" s="26" customFormat="1" ht="12.95" customHeight="1" x14ac:dyDescent="0.2">
      <c r="A26" s="53" t="s">
        <v>57</v>
      </c>
      <c r="B26" s="53" t="s">
        <v>95</v>
      </c>
      <c r="C26" s="54">
        <v>28043.725999999999</v>
      </c>
      <c r="D26" s="34"/>
      <c r="E26" s="26">
        <f t="shared" si="0"/>
        <v>-16851.038199153063</v>
      </c>
      <c r="F26" s="26">
        <f t="shared" si="1"/>
        <v>-16851</v>
      </c>
      <c r="G26" s="26">
        <f t="shared" si="2"/>
        <v>-5.5441800002881791E-2</v>
      </c>
      <c r="H26" s="26">
        <f t="shared" si="3"/>
        <v>-5.5441800002881791E-2</v>
      </c>
      <c r="O26" s="26">
        <f t="shared" ca="1" si="4"/>
        <v>-4.6773900942600382E-4</v>
      </c>
      <c r="Q26" s="55">
        <f t="shared" si="5"/>
        <v>13025.225999999999</v>
      </c>
    </row>
    <row r="27" spans="1:18" s="26" customFormat="1" ht="12.95" customHeight="1" x14ac:dyDescent="0.2">
      <c r="A27" s="53" t="s">
        <v>57</v>
      </c>
      <c r="B27" s="53" t="s">
        <v>95</v>
      </c>
      <c r="C27" s="54">
        <v>28075.719000000001</v>
      </c>
      <c r="D27" s="34"/>
      <c r="E27" s="26">
        <f t="shared" si="0"/>
        <v>-16828.995164767086</v>
      </c>
      <c r="F27" s="26">
        <f t="shared" si="1"/>
        <v>-16829</v>
      </c>
      <c r="G27" s="26">
        <f t="shared" si="2"/>
        <v>7.017799998720875E-3</v>
      </c>
      <c r="H27" s="26">
        <f t="shared" si="3"/>
        <v>7.017799998720875E-3</v>
      </c>
      <c r="O27" s="26">
        <f t="shared" ca="1" si="4"/>
        <v>-4.6296386982604782E-4</v>
      </c>
      <c r="Q27" s="55">
        <f t="shared" si="5"/>
        <v>13057.219000000001</v>
      </c>
    </row>
    <row r="28" spans="1:18" s="26" customFormat="1" ht="12.95" customHeight="1" x14ac:dyDescent="0.2">
      <c r="A28" s="53" t="s">
        <v>57</v>
      </c>
      <c r="B28" s="53" t="s">
        <v>95</v>
      </c>
      <c r="C28" s="54">
        <v>28833.29</v>
      </c>
      <c r="D28" s="34"/>
      <c r="E28" s="26">
        <f t="shared" si="0"/>
        <v>-16307.032122763574</v>
      </c>
      <c r="F28" s="26">
        <f t="shared" si="1"/>
        <v>-16307</v>
      </c>
      <c r="G28" s="26">
        <f t="shared" si="2"/>
        <v>-4.6622600002592662E-2</v>
      </c>
      <c r="H28" s="26">
        <f t="shared" si="3"/>
        <v>-4.6622600002592662E-2</v>
      </c>
      <c r="O28" s="26">
        <f t="shared" ca="1" si="4"/>
        <v>-3.4966283022709165E-4</v>
      </c>
      <c r="Q28" s="55">
        <f t="shared" si="5"/>
        <v>13814.79</v>
      </c>
    </row>
    <row r="29" spans="1:18" s="26" customFormat="1" ht="12.95" customHeight="1" x14ac:dyDescent="0.2">
      <c r="A29" s="53" t="s">
        <v>57</v>
      </c>
      <c r="B29" s="53" t="s">
        <v>95</v>
      </c>
      <c r="C29" s="54">
        <v>28836.282999999999</v>
      </c>
      <c r="D29" s="34"/>
      <c r="E29" s="26">
        <f t="shared" si="0"/>
        <v>-16304.969959105361</v>
      </c>
      <c r="F29" s="26">
        <f t="shared" si="1"/>
        <v>-16305</v>
      </c>
      <c r="G29" s="26">
        <f t="shared" si="2"/>
        <v>4.3600999997579493E-2</v>
      </c>
      <c r="H29" s="26">
        <f t="shared" si="3"/>
        <v>4.3600999997579493E-2</v>
      </c>
      <c r="O29" s="26">
        <f t="shared" ca="1" si="4"/>
        <v>-3.4922872662709577E-4</v>
      </c>
      <c r="Q29" s="55">
        <f t="shared" si="5"/>
        <v>13817.782999999999</v>
      </c>
    </row>
    <row r="30" spans="1:18" x14ac:dyDescent="0.2">
      <c r="A30" s="24" t="s">
        <v>57</v>
      </c>
      <c r="B30" s="24" t="s">
        <v>95</v>
      </c>
      <c r="C30" s="25">
        <v>29479.232</v>
      </c>
      <c r="D30" s="3"/>
      <c r="E30">
        <f t="shared" si="0"/>
        <v>-15861.98096415556</v>
      </c>
      <c r="F30">
        <f t="shared" si="1"/>
        <v>-15862</v>
      </c>
      <c r="G30">
        <f t="shared" si="2"/>
        <v>2.762839999559219E-2</v>
      </c>
      <c r="H30">
        <f t="shared" si="3"/>
        <v>2.762839999559219E-2</v>
      </c>
      <c r="O30">
        <f t="shared" ca="1" si="4"/>
        <v>-2.5307477922798102E-4</v>
      </c>
      <c r="Q30" s="1">
        <f t="shared" si="5"/>
        <v>14460.732</v>
      </c>
    </row>
    <row r="31" spans="1:18" x14ac:dyDescent="0.2">
      <c r="A31" s="24" t="s">
        <v>57</v>
      </c>
      <c r="B31" s="24" t="s">
        <v>95</v>
      </c>
      <c r="C31" s="25">
        <v>29492.281999999999</v>
      </c>
      <c r="D31" s="3"/>
      <c r="E31">
        <f t="shared" si="0"/>
        <v>-15852.989572328068</v>
      </c>
      <c r="F31">
        <f t="shared" si="1"/>
        <v>-15853</v>
      </c>
      <c r="G31">
        <f t="shared" si="2"/>
        <v>1.5134599994780729E-2</v>
      </c>
      <c r="H31">
        <f t="shared" si="3"/>
        <v>1.5134599994780729E-2</v>
      </c>
      <c r="O31">
        <f t="shared" ca="1" si="4"/>
        <v>-2.5112131302799934E-4</v>
      </c>
      <c r="Q31" s="1">
        <f t="shared" si="5"/>
        <v>14473.781999999999</v>
      </c>
    </row>
    <row r="32" spans="1:18" x14ac:dyDescent="0.2">
      <c r="A32" s="24" t="s">
        <v>57</v>
      </c>
      <c r="B32" s="24" t="s">
        <v>95</v>
      </c>
      <c r="C32" s="25">
        <v>29508.234</v>
      </c>
      <c r="D32" s="3"/>
      <c r="E32">
        <f t="shared" si="0"/>
        <v>-15841.998715436714</v>
      </c>
      <c r="F32">
        <f t="shared" si="1"/>
        <v>-15842</v>
      </c>
      <c r="G32">
        <f t="shared" si="2"/>
        <v>1.8643999974301551E-3</v>
      </c>
      <c r="H32">
        <f t="shared" si="3"/>
        <v>1.8643999974301551E-3</v>
      </c>
      <c r="O32">
        <f t="shared" ca="1" si="4"/>
        <v>-2.4873374322802134E-4</v>
      </c>
      <c r="Q32" s="1">
        <f t="shared" si="5"/>
        <v>14489.734</v>
      </c>
    </row>
    <row r="33" spans="1:17" x14ac:dyDescent="0.2">
      <c r="A33" s="24" t="s">
        <v>57</v>
      </c>
      <c r="B33" s="24" t="s">
        <v>95</v>
      </c>
      <c r="C33" s="25">
        <v>29521.295999999998</v>
      </c>
      <c r="D33" s="3"/>
      <c r="E33">
        <f t="shared" si="0"/>
        <v>-15832.999055662713</v>
      </c>
      <c r="F33">
        <f t="shared" si="1"/>
        <v>-15833</v>
      </c>
      <c r="G33">
        <f t="shared" si="2"/>
        <v>1.3705999954254366E-3</v>
      </c>
      <c r="H33">
        <f t="shared" si="3"/>
        <v>1.3705999954254366E-3</v>
      </c>
      <c r="O33">
        <f t="shared" ca="1" si="4"/>
        <v>-2.4678027702803923E-4</v>
      </c>
      <c r="Q33" s="1">
        <f t="shared" si="5"/>
        <v>14502.795999999998</v>
      </c>
    </row>
    <row r="34" spans="1:17" x14ac:dyDescent="0.2">
      <c r="A34" s="24" t="s">
        <v>57</v>
      </c>
      <c r="B34" s="24" t="s">
        <v>95</v>
      </c>
      <c r="C34" s="25">
        <v>29553.232</v>
      </c>
      <c r="D34" s="3"/>
      <c r="E34">
        <f t="shared" si="0"/>
        <v>-15810.995294022649</v>
      </c>
      <c r="F34">
        <f t="shared" si="1"/>
        <v>-15811</v>
      </c>
      <c r="G34">
        <f t="shared" si="2"/>
        <v>6.8301999963296112E-3</v>
      </c>
      <c r="H34">
        <f t="shared" si="3"/>
        <v>6.8301999963296112E-3</v>
      </c>
      <c r="O34">
        <f t="shared" ca="1" si="4"/>
        <v>-2.4200513742808323E-4</v>
      </c>
      <c r="Q34" s="1">
        <f t="shared" si="5"/>
        <v>14534.732</v>
      </c>
    </row>
    <row r="35" spans="1:17" x14ac:dyDescent="0.2">
      <c r="A35" t="s">
        <v>50</v>
      </c>
      <c r="C35" s="3">
        <v>52501.124000000003</v>
      </c>
      <c r="D35" s="3" t="s">
        <v>13</v>
      </c>
      <c r="E35">
        <f t="shared" si="0"/>
        <v>0</v>
      </c>
      <c r="F35">
        <f t="shared" si="1"/>
        <v>0</v>
      </c>
      <c r="G35">
        <f t="shared" si="2"/>
        <v>0</v>
      </c>
      <c r="H35">
        <f t="shared" si="3"/>
        <v>0</v>
      </c>
      <c r="O35">
        <f t="shared" ca="1" si="4"/>
        <v>3.1898008723403081E-3</v>
      </c>
      <c r="Q35" s="1">
        <f t="shared" si="5"/>
        <v>37482.624000000003</v>
      </c>
    </row>
    <row r="36" spans="1:17" x14ac:dyDescent="0.2">
      <c r="C36" s="3"/>
      <c r="D36" s="3"/>
    </row>
    <row r="37" spans="1:17" x14ac:dyDescent="0.2">
      <c r="C37" s="3"/>
      <c r="D37" s="3"/>
    </row>
    <row r="38" spans="1:17" x14ac:dyDescent="0.2">
      <c r="C38" s="3"/>
      <c r="D38" s="3"/>
    </row>
    <row r="39" spans="1:17" x14ac:dyDescent="0.2">
      <c r="C39" s="3"/>
      <c r="D39" s="3"/>
    </row>
    <row r="40" spans="1:17" x14ac:dyDescent="0.2">
      <c r="C40" s="3"/>
      <c r="D40" s="3"/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1"/>
  <sheetViews>
    <sheetView workbookViewId="0">
      <selection activeCell="A11" sqref="A11:C24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41</v>
      </c>
      <c r="I1" s="9" t="s">
        <v>42</v>
      </c>
      <c r="J1" s="10" t="s">
        <v>40</v>
      </c>
    </row>
    <row r="2" spans="1:16" x14ac:dyDescent="0.2">
      <c r="I2" s="11" t="s">
        <v>43</v>
      </c>
      <c r="J2" s="12" t="s">
        <v>39</v>
      </c>
    </row>
    <row r="3" spans="1:16" x14ac:dyDescent="0.2">
      <c r="A3" s="13" t="s">
        <v>44</v>
      </c>
      <c r="I3" s="11" t="s">
        <v>45</v>
      </c>
      <c r="J3" s="12" t="s">
        <v>37</v>
      </c>
    </row>
    <row r="4" spans="1:16" x14ac:dyDescent="0.2">
      <c r="I4" s="11" t="s">
        <v>46</v>
      </c>
      <c r="J4" s="12" t="s">
        <v>37</v>
      </c>
    </row>
    <row r="5" spans="1:16" ht="13.5" thickBot="1" x14ac:dyDescent="0.25">
      <c r="I5" s="14" t="s">
        <v>47</v>
      </c>
      <c r="J5" s="15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24" si="0">P11</f>
        <v> AOLD 20.190 </v>
      </c>
      <c r="B11" s="2" t="str">
        <f t="shared" ref="B11:B24" si="1">IF(H11=INT(H11),"I","II")</f>
        <v>I</v>
      </c>
      <c r="C11" s="3">
        <f t="shared" ref="C11:C24" si="2">1*G11</f>
        <v>27902.98</v>
      </c>
      <c r="D11" s="4" t="str">
        <f t="shared" ref="D11:D24" si="3">VLOOKUP(F11,I$1:J$5,2,FALSE)</f>
        <v>vis</v>
      </c>
      <c r="E11" s="16">
        <f>VLOOKUP(C11,Active!C$21:E$973,3,FALSE)</f>
        <v>-16948.011565754776</v>
      </c>
      <c r="F11" s="2" t="s">
        <v>47</v>
      </c>
      <c r="G11" s="4" t="str">
        <f t="shared" ref="G11:G24" si="4">MID(I11,3,LEN(I11)-3)</f>
        <v>27902.980</v>
      </c>
      <c r="H11" s="3">
        <f t="shared" ref="H11:H24" si="5">1*K11</f>
        <v>-641</v>
      </c>
      <c r="I11" s="17" t="s">
        <v>52</v>
      </c>
      <c r="J11" s="18" t="s">
        <v>53</v>
      </c>
      <c r="K11" s="17">
        <v>-641</v>
      </c>
      <c r="L11" s="17" t="s">
        <v>54</v>
      </c>
      <c r="M11" s="18" t="s">
        <v>55</v>
      </c>
      <c r="N11" s="18"/>
      <c r="O11" s="19" t="s">
        <v>56</v>
      </c>
      <c r="P11" s="19" t="s">
        <v>57</v>
      </c>
    </row>
    <row r="12" spans="1:16" ht="12.75" customHeight="1" thickBot="1" x14ac:dyDescent="0.25">
      <c r="A12" s="3" t="str">
        <f t="shared" si="0"/>
        <v> AOLD 20.190 </v>
      </c>
      <c r="B12" s="2" t="str">
        <f t="shared" si="1"/>
        <v>I</v>
      </c>
      <c r="C12" s="3">
        <f t="shared" si="2"/>
        <v>27953.805</v>
      </c>
      <c r="D12" s="4" t="str">
        <f t="shared" si="3"/>
        <v>vis</v>
      </c>
      <c r="E12" s="16">
        <f>VLOOKUP(C12,Active!C$21:E$973,3,FALSE)</f>
        <v>-16912.993367315514</v>
      </c>
      <c r="F12" s="2" t="s">
        <v>47</v>
      </c>
      <c r="G12" s="4" t="str">
        <f t="shared" si="4"/>
        <v>27953.805</v>
      </c>
      <c r="H12" s="3">
        <f t="shared" si="5"/>
        <v>-606</v>
      </c>
      <c r="I12" s="17" t="s">
        <v>58</v>
      </c>
      <c r="J12" s="18" t="s">
        <v>59</v>
      </c>
      <c r="K12" s="17">
        <v>-606</v>
      </c>
      <c r="L12" s="17" t="s">
        <v>60</v>
      </c>
      <c r="M12" s="18" t="s">
        <v>55</v>
      </c>
      <c r="N12" s="18"/>
      <c r="O12" s="19" t="s">
        <v>56</v>
      </c>
      <c r="P12" s="19" t="s">
        <v>57</v>
      </c>
    </row>
    <row r="13" spans="1:16" ht="12.75" customHeight="1" thickBot="1" x14ac:dyDescent="0.25">
      <c r="A13" s="3" t="str">
        <f t="shared" si="0"/>
        <v> AOLD 20.190 </v>
      </c>
      <c r="B13" s="2" t="str">
        <f t="shared" si="1"/>
        <v>I</v>
      </c>
      <c r="C13" s="3">
        <f t="shared" si="2"/>
        <v>27963.955000000002</v>
      </c>
      <c r="D13" s="4" t="str">
        <f t="shared" si="3"/>
        <v>vis</v>
      </c>
      <c r="E13" s="16">
        <f>VLOOKUP(C13,Active!C$21:E$973,3,FALSE)</f>
        <v>-16906.000062560797</v>
      </c>
      <c r="F13" s="2" t="s">
        <v>47</v>
      </c>
      <c r="G13" s="4" t="str">
        <f t="shared" si="4"/>
        <v>27963.955</v>
      </c>
      <c r="H13" s="3">
        <f t="shared" si="5"/>
        <v>-599</v>
      </c>
      <c r="I13" s="17" t="s">
        <v>61</v>
      </c>
      <c r="J13" s="18" t="s">
        <v>62</v>
      </c>
      <c r="K13" s="17">
        <v>-599</v>
      </c>
      <c r="L13" s="17" t="s">
        <v>63</v>
      </c>
      <c r="M13" s="18" t="s">
        <v>55</v>
      </c>
      <c r="N13" s="18"/>
      <c r="O13" s="19" t="s">
        <v>56</v>
      </c>
      <c r="P13" s="19" t="s">
        <v>57</v>
      </c>
    </row>
    <row r="14" spans="1:16" ht="12.75" customHeight="1" thickBot="1" x14ac:dyDescent="0.25">
      <c r="A14" s="3" t="str">
        <f t="shared" si="0"/>
        <v> AOLD 20.190 </v>
      </c>
      <c r="B14" s="2" t="str">
        <f t="shared" si="1"/>
        <v>I</v>
      </c>
      <c r="C14" s="3">
        <f t="shared" si="2"/>
        <v>27984.292000000001</v>
      </c>
      <c r="D14" s="4" t="str">
        <f t="shared" si="3"/>
        <v>vis</v>
      </c>
      <c r="E14" s="16">
        <f>VLOOKUP(C14,Active!C$21:E$973,3,FALSE)</f>
        <v>-16891.987960216295</v>
      </c>
      <c r="F14" s="2" t="s">
        <v>47</v>
      </c>
      <c r="G14" s="4" t="str">
        <f t="shared" si="4"/>
        <v>27984.292</v>
      </c>
      <c r="H14" s="3">
        <f t="shared" si="5"/>
        <v>-585</v>
      </c>
      <c r="I14" s="17" t="s">
        <v>64</v>
      </c>
      <c r="J14" s="18" t="s">
        <v>65</v>
      </c>
      <c r="K14" s="17">
        <v>-585</v>
      </c>
      <c r="L14" s="17" t="s">
        <v>66</v>
      </c>
      <c r="M14" s="18" t="s">
        <v>55</v>
      </c>
      <c r="N14" s="18"/>
      <c r="O14" s="19" t="s">
        <v>56</v>
      </c>
      <c r="P14" s="19" t="s">
        <v>57</v>
      </c>
    </row>
    <row r="15" spans="1:16" ht="12.75" customHeight="1" thickBot="1" x14ac:dyDescent="0.25">
      <c r="A15" s="3" t="str">
        <f t="shared" si="0"/>
        <v> AOLD 20.190 </v>
      </c>
      <c r="B15" s="2" t="str">
        <f t="shared" si="1"/>
        <v>I</v>
      </c>
      <c r="C15" s="3">
        <f t="shared" si="2"/>
        <v>27988.615000000002</v>
      </c>
      <c r="D15" s="4" t="str">
        <f t="shared" si="3"/>
        <v>vis</v>
      </c>
      <c r="E15" s="16">
        <f>VLOOKUP(C15,Active!C$21:E$973,3,FALSE)</f>
        <v>-16889.009432486775</v>
      </c>
      <c r="F15" s="2" t="s">
        <v>47</v>
      </c>
      <c r="G15" s="4" t="str">
        <f t="shared" si="4"/>
        <v>27988.615</v>
      </c>
      <c r="H15" s="3">
        <f t="shared" si="5"/>
        <v>-582</v>
      </c>
      <c r="I15" s="17" t="s">
        <v>67</v>
      </c>
      <c r="J15" s="18" t="s">
        <v>68</v>
      </c>
      <c r="K15" s="17">
        <v>-582</v>
      </c>
      <c r="L15" s="17" t="s">
        <v>69</v>
      </c>
      <c r="M15" s="18" t="s">
        <v>55</v>
      </c>
      <c r="N15" s="18"/>
      <c r="O15" s="19" t="s">
        <v>56</v>
      </c>
      <c r="P15" s="19" t="s">
        <v>57</v>
      </c>
    </row>
    <row r="16" spans="1:16" ht="12.75" customHeight="1" thickBot="1" x14ac:dyDescent="0.25">
      <c r="A16" s="3" t="str">
        <f t="shared" si="0"/>
        <v> AOLD 20.190 </v>
      </c>
      <c r="B16" s="2" t="str">
        <f t="shared" si="1"/>
        <v>I</v>
      </c>
      <c r="C16" s="3">
        <f t="shared" si="2"/>
        <v>28043.725999999999</v>
      </c>
      <c r="D16" s="4" t="str">
        <f t="shared" si="3"/>
        <v>vis</v>
      </c>
      <c r="E16" s="16">
        <f>VLOOKUP(C16,Active!C$21:E$973,3,FALSE)</f>
        <v>-16851.038199153063</v>
      </c>
      <c r="F16" s="2" t="s">
        <v>47</v>
      </c>
      <c r="G16" s="4" t="str">
        <f t="shared" si="4"/>
        <v>28043.726</v>
      </c>
      <c r="H16" s="3">
        <f t="shared" si="5"/>
        <v>-544</v>
      </c>
      <c r="I16" s="17" t="s">
        <v>70</v>
      </c>
      <c r="J16" s="18" t="s">
        <v>71</v>
      </c>
      <c r="K16" s="17">
        <v>-544</v>
      </c>
      <c r="L16" s="17" t="s">
        <v>72</v>
      </c>
      <c r="M16" s="18" t="s">
        <v>55</v>
      </c>
      <c r="N16" s="18"/>
      <c r="O16" s="19" t="s">
        <v>56</v>
      </c>
      <c r="P16" s="19" t="s">
        <v>57</v>
      </c>
    </row>
    <row r="17" spans="1:16" ht="12.75" customHeight="1" thickBot="1" x14ac:dyDescent="0.25">
      <c r="A17" s="3" t="str">
        <f t="shared" si="0"/>
        <v> AOLD 20.190 </v>
      </c>
      <c r="B17" s="2" t="str">
        <f t="shared" si="1"/>
        <v>I</v>
      </c>
      <c r="C17" s="3">
        <f t="shared" si="2"/>
        <v>28075.719000000001</v>
      </c>
      <c r="D17" s="4" t="str">
        <f t="shared" si="3"/>
        <v>vis</v>
      </c>
      <c r="E17" s="16">
        <f>VLOOKUP(C17,Active!C$21:E$973,3,FALSE)</f>
        <v>-16828.995164767086</v>
      </c>
      <c r="F17" s="2" t="s">
        <v>47</v>
      </c>
      <c r="G17" s="4" t="str">
        <f t="shared" si="4"/>
        <v>28075.719</v>
      </c>
      <c r="H17" s="3">
        <f t="shared" si="5"/>
        <v>-522</v>
      </c>
      <c r="I17" s="17" t="s">
        <v>73</v>
      </c>
      <c r="J17" s="18" t="s">
        <v>74</v>
      </c>
      <c r="K17" s="17">
        <v>-522</v>
      </c>
      <c r="L17" s="17" t="s">
        <v>75</v>
      </c>
      <c r="M17" s="18" t="s">
        <v>55</v>
      </c>
      <c r="N17" s="18"/>
      <c r="O17" s="19" t="s">
        <v>56</v>
      </c>
      <c r="P17" s="19" t="s">
        <v>57</v>
      </c>
    </row>
    <row r="18" spans="1:16" ht="12.75" customHeight="1" thickBot="1" x14ac:dyDescent="0.25">
      <c r="A18" s="3" t="str">
        <f t="shared" si="0"/>
        <v> AOLD 20.190 </v>
      </c>
      <c r="B18" s="2" t="str">
        <f t="shared" si="1"/>
        <v>I</v>
      </c>
      <c r="C18" s="3">
        <f t="shared" si="2"/>
        <v>28833.29</v>
      </c>
      <c r="D18" s="4" t="str">
        <f t="shared" si="3"/>
        <v>vis</v>
      </c>
      <c r="E18" s="16">
        <f>VLOOKUP(C18,Active!C$21:E$973,3,FALSE)</f>
        <v>-16307.032122763574</v>
      </c>
      <c r="F18" s="2" t="s">
        <v>47</v>
      </c>
      <c r="G18" s="4" t="str">
        <f t="shared" si="4"/>
        <v>28833.290</v>
      </c>
      <c r="H18" s="3">
        <f t="shared" si="5"/>
        <v>0</v>
      </c>
      <c r="I18" s="17" t="s">
        <v>76</v>
      </c>
      <c r="J18" s="18" t="s">
        <v>77</v>
      </c>
      <c r="K18" s="17">
        <v>0</v>
      </c>
      <c r="L18" s="17" t="s">
        <v>72</v>
      </c>
      <c r="M18" s="18" t="s">
        <v>55</v>
      </c>
      <c r="N18" s="18"/>
      <c r="O18" s="19" t="s">
        <v>56</v>
      </c>
      <c r="P18" s="19" t="s">
        <v>57</v>
      </c>
    </row>
    <row r="19" spans="1:16" ht="12.75" customHeight="1" thickBot="1" x14ac:dyDescent="0.25">
      <c r="A19" s="3" t="str">
        <f t="shared" si="0"/>
        <v> AOLD 20.190 </v>
      </c>
      <c r="B19" s="2" t="str">
        <f t="shared" si="1"/>
        <v>I</v>
      </c>
      <c r="C19" s="3">
        <f t="shared" si="2"/>
        <v>28836.282999999999</v>
      </c>
      <c r="D19" s="4" t="str">
        <f t="shared" si="3"/>
        <v>vis</v>
      </c>
      <c r="E19" s="16">
        <f>VLOOKUP(C19,Active!C$21:E$973,3,FALSE)</f>
        <v>-16304.969959105361</v>
      </c>
      <c r="F19" s="2" t="s">
        <v>47</v>
      </c>
      <c r="G19" s="4" t="str">
        <f t="shared" si="4"/>
        <v>28836.283</v>
      </c>
      <c r="H19" s="3">
        <f t="shared" si="5"/>
        <v>2</v>
      </c>
      <c r="I19" s="17" t="s">
        <v>78</v>
      </c>
      <c r="J19" s="18" t="s">
        <v>79</v>
      </c>
      <c r="K19" s="17">
        <v>2</v>
      </c>
      <c r="L19" s="17" t="s">
        <v>80</v>
      </c>
      <c r="M19" s="18" t="s">
        <v>55</v>
      </c>
      <c r="N19" s="18"/>
      <c r="O19" s="19" t="s">
        <v>56</v>
      </c>
      <c r="P19" s="19" t="s">
        <v>57</v>
      </c>
    </row>
    <row r="20" spans="1:16" ht="12.75" customHeight="1" thickBot="1" x14ac:dyDescent="0.25">
      <c r="A20" s="3" t="str">
        <f t="shared" si="0"/>
        <v> AOLD 20.190 </v>
      </c>
      <c r="B20" s="2" t="str">
        <f t="shared" si="1"/>
        <v>I</v>
      </c>
      <c r="C20" s="3">
        <f t="shared" si="2"/>
        <v>29479.232</v>
      </c>
      <c r="D20" s="4" t="str">
        <f t="shared" si="3"/>
        <v>vis</v>
      </c>
      <c r="E20" s="16">
        <f>VLOOKUP(C20,Active!C$21:E$973,3,FALSE)</f>
        <v>-15861.98096415556</v>
      </c>
      <c r="F20" s="2" t="s">
        <v>47</v>
      </c>
      <c r="G20" s="4" t="str">
        <f t="shared" si="4"/>
        <v>29479.232</v>
      </c>
      <c r="H20" s="3">
        <f t="shared" si="5"/>
        <v>445</v>
      </c>
      <c r="I20" s="17" t="s">
        <v>81</v>
      </c>
      <c r="J20" s="18" t="s">
        <v>82</v>
      </c>
      <c r="K20" s="17">
        <v>445</v>
      </c>
      <c r="L20" s="17" t="s">
        <v>83</v>
      </c>
      <c r="M20" s="18" t="s">
        <v>55</v>
      </c>
      <c r="N20" s="18"/>
      <c r="O20" s="19" t="s">
        <v>56</v>
      </c>
      <c r="P20" s="19" t="s">
        <v>57</v>
      </c>
    </row>
    <row r="21" spans="1:16" ht="12.75" customHeight="1" thickBot="1" x14ac:dyDescent="0.25">
      <c r="A21" s="3" t="str">
        <f t="shared" si="0"/>
        <v> AOLD 20.190 </v>
      </c>
      <c r="B21" s="2" t="str">
        <f t="shared" si="1"/>
        <v>I</v>
      </c>
      <c r="C21" s="3">
        <f t="shared" si="2"/>
        <v>29492.281999999999</v>
      </c>
      <c r="D21" s="4" t="str">
        <f t="shared" si="3"/>
        <v>vis</v>
      </c>
      <c r="E21" s="16">
        <f>VLOOKUP(C21,Active!C$21:E$973,3,FALSE)</f>
        <v>-15852.989572328068</v>
      </c>
      <c r="F21" s="2" t="s">
        <v>47</v>
      </c>
      <c r="G21" s="4" t="str">
        <f t="shared" si="4"/>
        <v>29492.282</v>
      </c>
      <c r="H21" s="3">
        <f t="shared" si="5"/>
        <v>454</v>
      </c>
      <c r="I21" s="17" t="s">
        <v>84</v>
      </c>
      <c r="J21" s="18" t="s">
        <v>85</v>
      </c>
      <c r="K21" s="17">
        <v>454</v>
      </c>
      <c r="L21" s="17" t="s">
        <v>86</v>
      </c>
      <c r="M21" s="18" t="s">
        <v>55</v>
      </c>
      <c r="N21" s="18"/>
      <c r="O21" s="19" t="s">
        <v>56</v>
      </c>
      <c r="P21" s="19" t="s">
        <v>57</v>
      </c>
    </row>
    <row r="22" spans="1:16" ht="12.75" customHeight="1" thickBot="1" x14ac:dyDescent="0.25">
      <c r="A22" s="3" t="str">
        <f t="shared" si="0"/>
        <v> AOLD 20.190 </v>
      </c>
      <c r="B22" s="2" t="str">
        <f t="shared" si="1"/>
        <v>I</v>
      </c>
      <c r="C22" s="3">
        <f t="shared" si="2"/>
        <v>29508.234</v>
      </c>
      <c r="D22" s="4" t="str">
        <f t="shared" si="3"/>
        <v>vis</v>
      </c>
      <c r="E22" s="16">
        <f>VLOOKUP(C22,Active!C$21:E$973,3,FALSE)</f>
        <v>-15841.998715436714</v>
      </c>
      <c r="F22" s="2" t="s">
        <v>47</v>
      </c>
      <c r="G22" s="4" t="str">
        <f t="shared" si="4"/>
        <v>29508.234</v>
      </c>
      <c r="H22" s="3">
        <f t="shared" si="5"/>
        <v>465</v>
      </c>
      <c r="I22" s="17" t="s">
        <v>87</v>
      </c>
      <c r="J22" s="18" t="s">
        <v>88</v>
      </c>
      <c r="K22" s="17">
        <v>465</v>
      </c>
      <c r="L22" s="17" t="s">
        <v>89</v>
      </c>
      <c r="M22" s="18" t="s">
        <v>55</v>
      </c>
      <c r="N22" s="18"/>
      <c r="O22" s="19" t="s">
        <v>56</v>
      </c>
      <c r="P22" s="19" t="s">
        <v>57</v>
      </c>
    </row>
    <row r="23" spans="1:16" ht="12.75" customHeight="1" thickBot="1" x14ac:dyDescent="0.25">
      <c r="A23" s="3" t="str">
        <f t="shared" si="0"/>
        <v> AOLD 20.190 </v>
      </c>
      <c r="B23" s="2" t="str">
        <f t="shared" si="1"/>
        <v>I</v>
      </c>
      <c r="C23" s="3">
        <f t="shared" si="2"/>
        <v>29521.295999999998</v>
      </c>
      <c r="D23" s="4" t="str">
        <f t="shared" si="3"/>
        <v>vis</v>
      </c>
      <c r="E23" s="16">
        <f>VLOOKUP(C23,Active!C$21:E$973,3,FALSE)</f>
        <v>-15832.999055662713</v>
      </c>
      <c r="F23" s="2" t="s">
        <v>47</v>
      </c>
      <c r="G23" s="4" t="str">
        <f t="shared" si="4"/>
        <v>29521.296</v>
      </c>
      <c r="H23" s="3">
        <f t="shared" si="5"/>
        <v>474</v>
      </c>
      <c r="I23" s="17" t="s">
        <v>90</v>
      </c>
      <c r="J23" s="18" t="s">
        <v>91</v>
      </c>
      <c r="K23" s="17">
        <v>474</v>
      </c>
      <c r="L23" s="17" t="s">
        <v>89</v>
      </c>
      <c r="M23" s="18" t="s">
        <v>55</v>
      </c>
      <c r="N23" s="18"/>
      <c r="O23" s="19" t="s">
        <v>56</v>
      </c>
      <c r="P23" s="19" t="s">
        <v>57</v>
      </c>
    </row>
    <row r="24" spans="1:16" ht="12.75" customHeight="1" thickBot="1" x14ac:dyDescent="0.25">
      <c r="A24" s="3" t="str">
        <f t="shared" si="0"/>
        <v> AOLD 20.190 </v>
      </c>
      <c r="B24" s="2" t="str">
        <f t="shared" si="1"/>
        <v>I</v>
      </c>
      <c r="C24" s="3">
        <f t="shared" si="2"/>
        <v>29553.232</v>
      </c>
      <c r="D24" s="4" t="str">
        <f t="shared" si="3"/>
        <v>vis</v>
      </c>
      <c r="E24" s="16">
        <f>VLOOKUP(C24,Active!C$21:E$973,3,FALSE)</f>
        <v>-15810.995294022649</v>
      </c>
      <c r="F24" s="2" t="s">
        <v>47</v>
      </c>
      <c r="G24" s="4" t="str">
        <f t="shared" si="4"/>
        <v>29553.232</v>
      </c>
      <c r="H24" s="3">
        <f t="shared" si="5"/>
        <v>496</v>
      </c>
      <c r="I24" s="17" t="s">
        <v>92</v>
      </c>
      <c r="J24" s="18" t="s">
        <v>93</v>
      </c>
      <c r="K24" s="17">
        <v>496</v>
      </c>
      <c r="L24" s="17" t="s">
        <v>94</v>
      </c>
      <c r="M24" s="18" t="s">
        <v>55</v>
      </c>
      <c r="N24" s="18"/>
      <c r="O24" s="19" t="s">
        <v>56</v>
      </c>
      <c r="P24" s="19" t="s">
        <v>57</v>
      </c>
    </row>
    <row r="25" spans="1:16" x14ac:dyDescent="0.2">
      <c r="B25" s="2"/>
      <c r="E25" s="16"/>
      <c r="F25" s="2"/>
    </row>
    <row r="26" spans="1:16" x14ac:dyDescent="0.2">
      <c r="B26" s="2"/>
      <c r="E26" s="16"/>
      <c r="F26" s="2"/>
    </row>
    <row r="27" spans="1:16" x14ac:dyDescent="0.2">
      <c r="B27" s="2"/>
      <c r="E27" s="16"/>
      <c r="F27" s="2"/>
    </row>
    <row r="28" spans="1:16" x14ac:dyDescent="0.2">
      <c r="B28" s="2"/>
      <c r="E28" s="16"/>
      <c r="F28" s="2"/>
    </row>
    <row r="29" spans="1:16" x14ac:dyDescent="0.2">
      <c r="B29" s="2"/>
      <c r="E29" s="16"/>
      <c r="F29" s="2"/>
    </row>
    <row r="30" spans="1:16" x14ac:dyDescent="0.2">
      <c r="B30" s="2"/>
      <c r="E30" s="16"/>
      <c r="F30" s="2"/>
    </row>
    <row r="31" spans="1:16" x14ac:dyDescent="0.2">
      <c r="B31" s="2"/>
      <c r="E31" s="16"/>
      <c r="F31" s="2"/>
    </row>
    <row r="32" spans="1:1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E36" s="16"/>
      <c r="F36" s="2"/>
    </row>
    <row r="37" spans="2:6" x14ac:dyDescent="0.2">
      <c r="B37" s="2"/>
      <c r="E37" s="16"/>
      <c r="F37" s="2"/>
    </row>
    <row r="38" spans="2:6" x14ac:dyDescent="0.2">
      <c r="B38" s="2"/>
      <c r="E38" s="16"/>
      <c r="F38" s="2"/>
    </row>
    <row r="39" spans="2:6" x14ac:dyDescent="0.2">
      <c r="B39" s="2"/>
      <c r="E39" s="16"/>
      <c r="F39" s="2"/>
    </row>
    <row r="40" spans="2:6" x14ac:dyDescent="0.2">
      <c r="B40" s="2"/>
      <c r="E40" s="16"/>
      <c r="F40" s="2"/>
    </row>
    <row r="41" spans="2:6" x14ac:dyDescent="0.2">
      <c r="B41" s="2"/>
      <c r="E41" s="16"/>
      <c r="F41" s="2"/>
    </row>
    <row r="42" spans="2:6" x14ac:dyDescent="0.2">
      <c r="B42" s="2"/>
      <c r="E42" s="16"/>
      <c r="F42" s="2"/>
    </row>
    <row r="43" spans="2:6" x14ac:dyDescent="0.2">
      <c r="B43" s="2"/>
      <c r="E43" s="16"/>
      <c r="F43" s="2"/>
    </row>
    <row r="44" spans="2:6" x14ac:dyDescent="0.2">
      <c r="B44" s="2"/>
      <c r="E44" s="16"/>
      <c r="F44" s="2"/>
    </row>
    <row r="45" spans="2:6" x14ac:dyDescent="0.2">
      <c r="B45" s="2"/>
      <c r="E45" s="16"/>
      <c r="F45" s="2"/>
    </row>
    <row r="46" spans="2:6" x14ac:dyDescent="0.2">
      <c r="B46" s="2"/>
      <c r="E46" s="16"/>
      <c r="F46" s="2"/>
    </row>
    <row r="47" spans="2:6" x14ac:dyDescent="0.2">
      <c r="B47" s="2"/>
      <c r="E47" s="16"/>
      <c r="F47" s="2"/>
    </row>
    <row r="48" spans="2: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2024-03-05T05:53:14Z</dcterms:modified>
</cp:coreProperties>
</file>