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2AA173-27B6-4114-8E52-5E3E3ADDE4E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3" i="1"/>
  <c r="F53" i="1"/>
  <c r="G53" i="1"/>
  <c r="K53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1" i="1"/>
  <c r="Q53" i="1"/>
  <c r="C52" i="1"/>
  <c r="S19" i="1"/>
  <c r="A52" i="1"/>
  <c r="G11" i="1"/>
  <c r="E14" i="1"/>
  <c r="E15" i="1" s="1"/>
  <c r="C17" i="1"/>
  <c r="E52" i="1"/>
  <c r="F52" i="1"/>
  <c r="G52" i="1"/>
  <c r="Q52" i="1"/>
  <c r="H52" i="1"/>
  <c r="C12" i="1"/>
  <c r="C16" i="1" l="1"/>
  <c r="D18" i="1" s="1"/>
  <c r="C11" i="1"/>
  <c r="O45" i="1" l="1"/>
  <c r="O43" i="1"/>
  <c r="C15" i="1"/>
  <c r="O23" i="1"/>
  <c r="O53" i="1"/>
  <c r="S53" i="1" s="1"/>
  <c r="O48" i="1"/>
  <c r="O22" i="1"/>
  <c r="O39" i="1"/>
  <c r="O30" i="1"/>
  <c r="O47" i="1"/>
  <c r="O27" i="1"/>
  <c r="O36" i="1"/>
  <c r="O40" i="1"/>
  <c r="O51" i="1"/>
  <c r="O25" i="1"/>
  <c r="O31" i="1"/>
  <c r="O32" i="1"/>
  <c r="O33" i="1"/>
  <c r="O24" i="1"/>
  <c r="O41" i="1"/>
  <c r="O21" i="1"/>
  <c r="O52" i="1"/>
  <c r="S52" i="1" s="1"/>
  <c r="O42" i="1"/>
  <c r="O44" i="1"/>
  <c r="O50" i="1"/>
  <c r="O38" i="1"/>
  <c r="O49" i="1"/>
  <c r="O26" i="1"/>
  <c r="O29" i="1"/>
  <c r="O46" i="1"/>
  <c r="O28" i="1"/>
  <c r="O34" i="1"/>
  <c r="O37" i="1"/>
  <c r="O35" i="1"/>
  <c r="E16" i="1" l="1"/>
  <c r="E17" i="1" s="1"/>
  <c r="C18" i="1"/>
</calcChain>
</file>

<file path=xl/sharedStrings.xml><?xml version="1.0" encoding="utf-8"?>
<sst xmlns="http://schemas.openxmlformats.org/spreadsheetml/2006/main" count="348" uniqueCount="150">
  <si>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</si>
  <si>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</si>
  <si>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</si>
  <si>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</si>
  <si>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</si>
  <si>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</si>
  <si>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</si>
  <si>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</si>
  <si>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</si>
  <si>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</si>
  <si>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</si>
  <si>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</si>
  <si>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</si>
  <si>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</si>
  <si>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</si>
  <si>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</si>
  <si>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</si>
  <si>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</si>
  <si>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</si>
  <si>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</si>
  <si>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</si>
  <si>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</si>
  <si>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</si>
  <si>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</si>
  <si>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</si>
  <si>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</si>
  <si>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</si>
  <si>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</si>
  <si>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</si>
  <si>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</si>
  <si>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</si>
  <si>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</si>
  <si>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</si>
  <si>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</si>
  <si>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</si>
  <si>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</si>
  <si>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</si>
  <si>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</si>
  <si>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</si>
  <si>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</si>
  <si>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V0356 Sct</t>
  </si>
  <si>
    <t>V0356 Sct / GSC 5706-1374</t>
  </si>
  <si>
    <t>Sct_V0356.xls</t>
  </si>
  <si>
    <t>EA</t>
  </si>
  <si>
    <t>Sct</t>
  </si>
  <si>
    <t>G5706-1374</t>
  </si>
  <si>
    <t>Kreiner</t>
  </si>
  <si>
    <t>VSS_2013-01-28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</si>
  <si>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</si>
  <si>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</si>
  <si>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</si>
  <si>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</si>
  <si>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</si>
  <si>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</si>
  <si>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</si>
  <si>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</si>
  <si>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</si>
  <si>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</si>
  <si>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</si>
  <si>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</si>
  <si>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</si>
  <si>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2427901.964 </t>
  </si>
  <si>
    <t> 09.04.1935 11:08 </t>
  </si>
  <si>
    <t> 0.023 </t>
  </si>
  <si>
    <t>P </t>
  </si>
  <si>
    <t> M.Harwood </t>
  </si>
  <si>
    <t> AOLD 21.438 </t>
  </si>
  <si>
    <t>2427901.996 </t>
  </si>
  <si>
    <t> 09.04.1935 11:54 </t>
  </si>
  <si>
    <t> 0.055 </t>
  </si>
  <si>
    <t>2427902.976 </t>
  </si>
  <si>
    <t> 10.04.1935 11:25 </t>
  </si>
  <si>
    <t> -0.027 </t>
  </si>
  <si>
    <t>2427953.915 </t>
  </si>
  <si>
    <t> 31.05.1935 09:57 </t>
  </si>
  <si>
    <t> -0.037 </t>
  </si>
  <si>
    <t>2427953.941 </t>
  </si>
  <si>
    <t> 31.05.1935 10:35 </t>
  </si>
  <si>
    <t> -0.011 </t>
  </si>
  <si>
    <t>2427983.700 </t>
  </si>
  <si>
    <t> 30.06.1935 04:48 </t>
  </si>
  <si>
    <t> 0.028 </t>
  </si>
  <si>
    <t>2427984.697 </t>
  </si>
  <si>
    <t> 01.07.1935 04:43 </t>
  </si>
  <si>
    <t>2427984.703 </t>
  </si>
  <si>
    <t> 01.07.1935 04:52 </t>
  </si>
  <si>
    <t> -0.031 </t>
  </si>
  <si>
    <t>2427984.747 </t>
  </si>
  <si>
    <t> 01.07.1935 05:55 </t>
  </si>
  <si>
    <t> 0.013 </t>
  </si>
  <si>
    <t>2427984.774 </t>
  </si>
  <si>
    <t> 01.07.1935 06:34 </t>
  </si>
  <si>
    <t> 0.040 </t>
  </si>
  <si>
    <t>2428069.641 </t>
  </si>
  <si>
    <t> 24.09.1935 03:23 </t>
  </si>
  <si>
    <t> -0.008 </t>
  </si>
  <si>
    <t>2428755.355 </t>
  </si>
  <si>
    <t> 09.08.1937 20:31 </t>
  </si>
  <si>
    <t> 0.015 </t>
  </si>
  <si>
    <t>2429100.303 </t>
  </si>
  <si>
    <t> 20.07.1938 19:16 </t>
  </si>
  <si>
    <t> -0.005 </t>
  </si>
  <si>
    <t>2429136.362 </t>
  </si>
  <si>
    <t> 25.08.1938 20:41 </t>
  </si>
  <si>
    <t> -0.035 </t>
  </si>
  <si>
    <t>2429136.384 </t>
  </si>
  <si>
    <t> 25.08.1938 21:12 </t>
  </si>
  <si>
    <t> -0.013 </t>
  </si>
  <si>
    <t>2429397.540 </t>
  </si>
  <si>
    <t> 14.05.1939 00:57 </t>
  </si>
  <si>
    <t>2429430.434 </t>
  </si>
  <si>
    <t> 15.06.1939 22:24 </t>
  </si>
  <si>
    <t> 0.018 </t>
  </si>
  <si>
    <t>2429431.434 </t>
  </si>
  <si>
    <t> 16.06.1939 22:24 </t>
  </si>
  <si>
    <t> -0.044 </t>
  </si>
  <si>
    <t>2429431.476 </t>
  </si>
  <si>
    <t> 16.06.1939 23:25 </t>
  </si>
  <si>
    <t> -0.002 </t>
  </si>
  <si>
    <t>2429431.498 </t>
  </si>
  <si>
    <t> 16.06.1939 23:57 </t>
  </si>
  <si>
    <t> 0.020 </t>
  </si>
  <si>
    <t>2429462.282 </t>
  </si>
  <si>
    <t> 17.07.1939 18:46 </t>
  </si>
  <si>
    <t> 0.022 </t>
  </si>
  <si>
    <t>2429464.411 </t>
  </si>
  <si>
    <t> 19.07.1939 21:51 </t>
  </si>
  <si>
    <t>2429465.434 </t>
  </si>
  <si>
    <t> 20.07.1939 22:24 </t>
  </si>
  <si>
    <t> -0.010 </t>
  </si>
  <si>
    <t>2429465.456 </t>
  </si>
  <si>
    <t> 20.07.1939 22:56 </t>
  </si>
  <si>
    <t> 0.012 </t>
  </si>
  <si>
    <t>2429479.232 </t>
  </si>
  <si>
    <t> 03.08.1939 17:34 </t>
  </si>
  <si>
    <t>2429479.256 </t>
  </si>
  <si>
    <t> 03.08.1939 18:08 </t>
  </si>
  <si>
    <t>2429480.309 </t>
  </si>
  <si>
    <t> 04.08.1939 19:24 </t>
  </si>
  <si>
    <t> 0.005 </t>
  </si>
  <si>
    <t>2429481.363 </t>
  </si>
  <si>
    <t> 05.08.1939 20:42 </t>
  </si>
  <si>
    <t>2429514.293 </t>
  </si>
  <si>
    <t> 07.09.1939 19:01 </t>
  </si>
  <si>
    <t>2429549.258 </t>
  </si>
  <si>
    <t> 12.10.1939 18:11 </t>
  </si>
  <si>
    <t> -0.040 </t>
  </si>
  <si>
    <t>2429549.281 </t>
  </si>
  <si>
    <t> 12.10.1939 18:44 </t>
  </si>
  <si>
    <t> -0.017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</si>
</sst>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V0356 Sct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-11588</c:v>
                </c:pt>
                <c:pt idx="1">
                  <c:v>-11588</c:v>
                </c:pt>
                <c:pt idx="2">
                  <c:v>-11587.5</c:v>
                </c:pt>
                <c:pt idx="3">
                  <c:v>-11563.5</c:v>
                </c:pt>
                <c:pt idx="4">
                  <c:v>-11563.5</c:v>
                </c:pt>
                <c:pt idx="5">
                  <c:v>-11549.5</c:v>
                </c:pt>
                <c:pt idx="6">
                  <c:v>-11549</c:v>
                </c:pt>
                <c:pt idx="7">
                  <c:v>-11549</c:v>
                </c:pt>
                <c:pt idx="8">
                  <c:v>-11549</c:v>
                </c:pt>
                <c:pt idx="9">
                  <c:v>-11549</c:v>
                </c:pt>
                <c:pt idx="10">
                  <c:v>-11509</c:v>
                </c:pt>
                <c:pt idx="11">
                  <c:v>-11186</c:v>
                </c:pt>
                <c:pt idx="12">
                  <c:v>-11023.5</c:v>
                </c:pt>
                <c:pt idx="13">
                  <c:v>-11006.5</c:v>
                </c:pt>
                <c:pt idx="14">
                  <c:v>-11006.5</c:v>
                </c:pt>
                <c:pt idx="15">
                  <c:v>-10883.5</c:v>
                </c:pt>
                <c:pt idx="16">
                  <c:v>-10868</c:v>
                </c:pt>
                <c:pt idx="17">
                  <c:v>-10867.5</c:v>
                </c:pt>
                <c:pt idx="18">
                  <c:v>-10867.5</c:v>
                </c:pt>
                <c:pt idx="19">
                  <c:v>-10867.5</c:v>
                </c:pt>
                <c:pt idx="20">
                  <c:v>-10853</c:v>
                </c:pt>
                <c:pt idx="21">
                  <c:v>-10852</c:v>
                </c:pt>
                <c:pt idx="22">
                  <c:v>-10851.5</c:v>
                </c:pt>
                <c:pt idx="23">
                  <c:v>-10851.5</c:v>
                </c:pt>
                <c:pt idx="24">
                  <c:v>-10845</c:v>
                </c:pt>
                <c:pt idx="25">
                  <c:v>-10845</c:v>
                </c:pt>
                <c:pt idx="26">
                  <c:v>-10844.5</c:v>
                </c:pt>
                <c:pt idx="27">
                  <c:v>-10844</c:v>
                </c:pt>
                <c:pt idx="28">
                  <c:v>-10828.5</c:v>
                </c:pt>
                <c:pt idx="29">
                  <c:v>-10812</c:v>
                </c:pt>
                <c:pt idx="30">
                  <c:v>-10812</c:v>
                </c:pt>
                <c:pt idx="31">
                  <c:v>0</c:v>
                </c:pt>
                <c:pt idx="32">
                  <c:v>1553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2A-4609-BC59-E61694982D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-11588</c:v>
                </c:pt>
                <c:pt idx="1">
                  <c:v>-11588</c:v>
                </c:pt>
                <c:pt idx="2">
                  <c:v>-11587.5</c:v>
                </c:pt>
                <c:pt idx="3">
                  <c:v>-11563.5</c:v>
                </c:pt>
                <c:pt idx="4">
                  <c:v>-11563.5</c:v>
                </c:pt>
                <c:pt idx="5">
                  <c:v>-11549.5</c:v>
                </c:pt>
                <c:pt idx="6">
                  <c:v>-11549</c:v>
                </c:pt>
                <c:pt idx="7">
                  <c:v>-11549</c:v>
                </c:pt>
                <c:pt idx="8">
                  <c:v>-11549</c:v>
                </c:pt>
                <c:pt idx="9">
                  <c:v>-11549</c:v>
                </c:pt>
                <c:pt idx="10">
                  <c:v>-11509</c:v>
                </c:pt>
                <c:pt idx="11">
                  <c:v>-11186</c:v>
                </c:pt>
                <c:pt idx="12">
                  <c:v>-11023.5</c:v>
                </c:pt>
                <c:pt idx="13">
                  <c:v>-11006.5</c:v>
                </c:pt>
                <c:pt idx="14">
                  <c:v>-11006.5</c:v>
                </c:pt>
                <c:pt idx="15">
                  <c:v>-10883.5</c:v>
                </c:pt>
                <c:pt idx="16">
                  <c:v>-10868</c:v>
                </c:pt>
                <c:pt idx="17">
                  <c:v>-10867.5</c:v>
                </c:pt>
                <c:pt idx="18">
                  <c:v>-10867.5</c:v>
                </c:pt>
                <c:pt idx="19">
                  <c:v>-10867.5</c:v>
                </c:pt>
                <c:pt idx="20">
                  <c:v>-10853</c:v>
                </c:pt>
                <c:pt idx="21">
                  <c:v>-10852</c:v>
                </c:pt>
                <c:pt idx="22">
                  <c:v>-10851.5</c:v>
                </c:pt>
                <c:pt idx="23">
                  <c:v>-10851.5</c:v>
                </c:pt>
                <c:pt idx="24">
                  <c:v>-10845</c:v>
                </c:pt>
                <c:pt idx="25">
                  <c:v>-10845</c:v>
                </c:pt>
                <c:pt idx="26">
                  <c:v>-10844.5</c:v>
                </c:pt>
                <c:pt idx="27">
                  <c:v>-10844</c:v>
                </c:pt>
                <c:pt idx="28">
                  <c:v>-10828.5</c:v>
                </c:pt>
                <c:pt idx="29">
                  <c:v>-10812</c:v>
                </c:pt>
                <c:pt idx="30">
                  <c:v>-10812</c:v>
                </c:pt>
                <c:pt idx="31">
                  <c:v>0</c:v>
                </c:pt>
                <c:pt idx="32">
                  <c:v>1553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2.9611999994813232E-2</c:v>
                </c:pt>
                <c:pt idx="1">
                  <c:v>6.1611999994056532E-2</c:v>
                </c:pt>
                <c:pt idx="2">
                  <c:v>-1.9837500007270137E-2</c:v>
                </c:pt>
                <c:pt idx="3">
                  <c:v>-3.0413500004215166E-2</c:v>
                </c:pt>
                <c:pt idx="4">
                  <c:v>-4.4135000061942264E-3</c:v>
                </c:pt>
                <c:pt idx="5">
                  <c:v>3.4000499996182043E-2</c:v>
                </c:pt>
                <c:pt idx="6">
                  <c:v>-3.0449000005319249E-2</c:v>
                </c:pt>
                <c:pt idx="7">
                  <c:v>-2.4449000004096888E-2</c:v>
                </c:pt>
                <c:pt idx="8">
                  <c:v>1.9550999993953155E-2</c:v>
                </c:pt>
                <c:pt idx="9">
                  <c:v>4.6550999995815801E-2</c:v>
                </c:pt>
                <c:pt idx="10">
                  <c:v>-2.4090000042633619E-3</c:v>
                </c:pt>
                <c:pt idx="11">
                  <c:v>1.521399999546702E-2</c:v>
                </c:pt>
                <c:pt idx="12">
                  <c:v>-7.8735000060987659E-3</c:v>
                </c:pt>
                <c:pt idx="13">
                  <c:v>-3.8156500002514804E-2</c:v>
                </c:pt>
                <c:pt idx="14">
                  <c:v>-1.6156500005308772E-2</c:v>
                </c:pt>
                <c:pt idx="15">
                  <c:v>2.3266499996680068E-2</c:v>
                </c:pt>
                <c:pt idx="16">
                  <c:v>1.2331999994785292E-2</c:v>
                </c:pt>
                <c:pt idx="17">
                  <c:v>-4.9117500002466841E-2</c:v>
                </c:pt>
                <c:pt idx="18">
                  <c:v>-7.1175000048242509E-3</c:v>
                </c:pt>
                <c:pt idx="19">
                  <c:v>1.488249999601976E-2</c:v>
                </c:pt>
                <c:pt idx="20">
                  <c:v>1.6846999995323131E-2</c:v>
                </c:pt>
                <c:pt idx="21">
                  <c:v>2.2947999994357815E-2</c:v>
                </c:pt>
                <c:pt idx="22">
                  <c:v>-1.5501500005484559E-2</c:v>
                </c:pt>
                <c:pt idx="23">
                  <c:v>6.4984999917214736E-3</c:v>
                </c:pt>
                <c:pt idx="24">
                  <c:v>-1.6345000003639143E-2</c:v>
                </c:pt>
                <c:pt idx="25">
                  <c:v>7.6549999976123217E-3</c:v>
                </c:pt>
                <c:pt idx="26">
                  <c:v>-7.9450000339420512E-4</c:v>
                </c:pt>
                <c:pt idx="27">
                  <c:v>-8.2440000041970052E-3</c:v>
                </c:pt>
                <c:pt idx="28">
                  <c:v>1.6821499997604406E-2</c:v>
                </c:pt>
                <c:pt idx="29">
                  <c:v>-4.6012000002519926E-2</c:v>
                </c:pt>
                <c:pt idx="30">
                  <c:v>-2.3012000005110167E-2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2A-4609-BC59-E61694982D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-11588</c:v>
                </c:pt>
                <c:pt idx="1">
                  <c:v>-11588</c:v>
                </c:pt>
                <c:pt idx="2">
                  <c:v>-11587.5</c:v>
                </c:pt>
                <c:pt idx="3">
                  <c:v>-11563.5</c:v>
                </c:pt>
                <c:pt idx="4">
                  <c:v>-11563.5</c:v>
                </c:pt>
                <c:pt idx="5">
                  <c:v>-11549.5</c:v>
                </c:pt>
                <c:pt idx="6">
                  <c:v>-11549</c:v>
                </c:pt>
                <c:pt idx="7">
                  <c:v>-11549</c:v>
                </c:pt>
                <c:pt idx="8">
                  <c:v>-11549</c:v>
                </c:pt>
                <c:pt idx="9">
                  <c:v>-11549</c:v>
                </c:pt>
                <c:pt idx="10">
                  <c:v>-11509</c:v>
                </c:pt>
                <c:pt idx="11">
                  <c:v>-11186</c:v>
                </c:pt>
                <c:pt idx="12">
                  <c:v>-11023.5</c:v>
                </c:pt>
                <c:pt idx="13">
                  <c:v>-11006.5</c:v>
                </c:pt>
                <c:pt idx="14">
                  <c:v>-11006.5</c:v>
                </c:pt>
                <c:pt idx="15">
                  <c:v>-10883.5</c:v>
                </c:pt>
                <c:pt idx="16">
                  <c:v>-10868</c:v>
                </c:pt>
                <c:pt idx="17">
                  <c:v>-10867.5</c:v>
                </c:pt>
                <c:pt idx="18">
                  <c:v>-10867.5</c:v>
                </c:pt>
                <c:pt idx="19">
                  <c:v>-10867.5</c:v>
                </c:pt>
                <c:pt idx="20">
                  <c:v>-10853</c:v>
                </c:pt>
                <c:pt idx="21">
                  <c:v>-10852</c:v>
                </c:pt>
                <c:pt idx="22">
                  <c:v>-10851.5</c:v>
                </c:pt>
                <c:pt idx="23">
                  <c:v>-10851.5</c:v>
                </c:pt>
                <c:pt idx="24">
                  <c:v>-10845</c:v>
                </c:pt>
                <c:pt idx="25">
                  <c:v>-10845</c:v>
                </c:pt>
                <c:pt idx="26">
                  <c:v>-10844.5</c:v>
                </c:pt>
                <c:pt idx="27">
                  <c:v>-10844</c:v>
                </c:pt>
                <c:pt idx="28">
                  <c:v>-10828.5</c:v>
                </c:pt>
                <c:pt idx="29">
                  <c:v>-10812</c:v>
                </c:pt>
                <c:pt idx="30">
                  <c:v>-10812</c:v>
                </c:pt>
                <c:pt idx="31">
                  <c:v>0</c:v>
                </c:pt>
                <c:pt idx="32">
                  <c:v>1553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2A-4609-BC59-E61694982D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-11588</c:v>
                </c:pt>
                <c:pt idx="1">
                  <c:v>-11588</c:v>
                </c:pt>
                <c:pt idx="2">
                  <c:v>-11587.5</c:v>
                </c:pt>
                <c:pt idx="3">
                  <c:v>-11563.5</c:v>
                </c:pt>
                <c:pt idx="4">
                  <c:v>-11563.5</c:v>
                </c:pt>
                <c:pt idx="5">
                  <c:v>-11549.5</c:v>
                </c:pt>
                <c:pt idx="6">
                  <c:v>-11549</c:v>
                </c:pt>
                <c:pt idx="7">
                  <c:v>-11549</c:v>
                </c:pt>
                <c:pt idx="8">
                  <c:v>-11549</c:v>
                </c:pt>
                <c:pt idx="9">
                  <c:v>-11549</c:v>
                </c:pt>
                <c:pt idx="10">
                  <c:v>-11509</c:v>
                </c:pt>
                <c:pt idx="11">
                  <c:v>-11186</c:v>
                </c:pt>
                <c:pt idx="12">
                  <c:v>-11023.5</c:v>
                </c:pt>
                <c:pt idx="13">
                  <c:v>-11006.5</c:v>
                </c:pt>
                <c:pt idx="14">
                  <c:v>-11006.5</c:v>
                </c:pt>
                <c:pt idx="15">
                  <c:v>-10883.5</c:v>
                </c:pt>
                <c:pt idx="16">
                  <c:v>-10868</c:v>
                </c:pt>
                <c:pt idx="17">
                  <c:v>-10867.5</c:v>
                </c:pt>
                <c:pt idx="18">
                  <c:v>-10867.5</c:v>
                </c:pt>
                <c:pt idx="19">
                  <c:v>-10867.5</c:v>
                </c:pt>
                <c:pt idx="20">
                  <c:v>-10853</c:v>
                </c:pt>
                <c:pt idx="21">
                  <c:v>-10852</c:v>
                </c:pt>
                <c:pt idx="22">
                  <c:v>-10851.5</c:v>
                </c:pt>
                <c:pt idx="23">
                  <c:v>-10851.5</c:v>
                </c:pt>
                <c:pt idx="24">
                  <c:v>-10845</c:v>
                </c:pt>
                <c:pt idx="25">
                  <c:v>-10845</c:v>
                </c:pt>
                <c:pt idx="26">
                  <c:v>-10844.5</c:v>
                </c:pt>
                <c:pt idx="27">
                  <c:v>-10844</c:v>
                </c:pt>
                <c:pt idx="28">
                  <c:v>-10828.5</c:v>
                </c:pt>
                <c:pt idx="29">
                  <c:v>-10812</c:v>
                </c:pt>
                <c:pt idx="30">
                  <c:v>-10812</c:v>
                </c:pt>
                <c:pt idx="31">
                  <c:v>0</c:v>
                </c:pt>
                <c:pt idx="32">
                  <c:v>1553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2">
                  <c:v>-1.8987000003107823E-2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2A-4609-BC59-E61694982D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-11588</c:v>
                </c:pt>
                <c:pt idx="1">
                  <c:v>-11588</c:v>
                </c:pt>
                <c:pt idx="2">
                  <c:v>-11587.5</c:v>
                </c:pt>
                <c:pt idx="3">
                  <c:v>-11563.5</c:v>
                </c:pt>
                <c:pt idx="4">
                  <c:v>-11563.5</c:v>
                </c:pt>
                <c:pt idx="5">
                  <c:v>-11549.5</c:v>
                </c:pt>
                <c:pt idx="6">
                  <c:v>-11549</c:v>
                </c:pt>
                <c:pt idx="7">
                  <c:v>-11549</c:v>
                </c:pt>
                <c:pt idx="8">
                  <c:v>-11549</c:v>
                </c:pt>
                <c:pt idx="9">
                  <c:v>-11549</c:v>
                </c:pt>
                <c:pt idx="10">
                  <c:v>-11509</c:v>
                </c:pt>
                <c:pt idx="11">
                  <c:v>-11186</c:v>
                </c:pt>
                <c:pt idx="12">
                  <c:v>-11023.5</c:v>
                </c:pt>
                <c:pt idx="13">
                  <c:v>-11006.5</c:v>
                </c:pt>
                <c:pt idx="14">
                  <c:v>-11006.5</c:v>
                </c:pt>
                <c:pt idx="15">
                  <c:v>-10883.5</c:v>
                </c:pt>
                <c:pt idx="16">
                  <c:v>-10868</c:v>
                </c:pt>
                <c:pt idx="17">
                  <c:v>-10867.5</c:v>
                </c:pt>
                <c:pt idx="18">
                  <c:v>-10867.5</c:v>
                </c:pt>
                <c:pt idx="19">
                  <c:v>-10867.5</c:v>
                </c:pt>
                <c:pt idx="20">
                  <c:v>-10853</c:v>
                </c:pt>
                <c:pt idx="21">
                  <c:v>-10852</c:v>
                </c:pt>
                <c:pt idx="22">
                  <c:v>-10851.5</c:v>
                </c:pt>
                <c:pt idx="23">
                  <c:v>-10851.5</c:v>
                </c:pt>
                <c:pt idx="24">
                  <c:v>-10845</c:v>
                </c:pt>
                <c:pt idx="25">
                  <c:v>-10845</c:v>
                </c:pt>
                <c:pt idx="26">
                  <c:v>-10844.5</c:v>
                </c:pt>
                <c:pt idx="27">
                  <c:v>-10844</c:v>
                </c:pt>
                <c:pt idx="28">
                  <c:v>-10828.5</c:v>
                </c:pt>
                <c:pt idx="29">
                  <c:v>-10812</c:v>
                </c:pt>
                <c:pt idx="30">
                  <c:v>-10812</c:v>
                </c:pt>
                <c:pt idx="31">
                  <c:v>0</c:v>
                </c:pt>
                <c:pt idx="32">
                  <c:v>1553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2A-4609-BC59-E61694982D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-11588</c:v>
                </c:pt>
                <c:pt idx="1">
                  <c:v>-11588</c:v>
                </c:pt>
                <c:pt idx="2">
                  <c:v>-11587.5</c:v>
                </c:pt>
                <c:pt idx="3">
                  <c:v>-11563.5</c:v>
                </c:pt>
                <c:pt idx="4">
                  <c:v>-11563.5</c:v>
                </c:pt>
                <c:pt idx="5">
                  <c:v>-11549.5</c:v>
                </c:pt>
                <c:pt idx="6">
                  <c:v>-11549</c:v>
                </c:pt>
                <c:pt idx="7">
                  <c:v>-11549</c:v>
                </c:pt>
                <c:pt idx="8">
                  <c:v>-11549</c:v>
                </c:pt>
                <c:pt idx="9">
                  <c:v>-11549</c:v>
                </c:pt>
                <c:pt idx="10">
                  <c:v>-11509</c:v>
                </c:pt>
                <c:pt idx="11">
                  <c:v>-11186</c:v>
                </c:pt>
                <c:pt idx="12">
                  <c:v>-11023.5</c:v>
                </c:pt>
                <c:pt idx="13">
                  <c:v>-11006.5</c:v>
                </c:pt>
                <c:pt idx="14">
                  <c:v>-11006.5</c:v>
                </c:pt>
                <c:pt idx="15">
                  <c:v>-10883.5</c:v>
                </c:pt>
                <c:pt idx="16">
                  <c:v>-10868</c:v>
                </c:pt>
                <c:pt idx="17">
                  <c:v>-10867.5</c:v>
                </c:pt>
                <c:pt idx="18">
                  <c:v>-10867.5</c:v>
                </c:pt>
                <c:pt idx="19">
                  <c:v>-10867.5</c:v>
                </c:pt>
                <c:pt idx="20">
                  <c:v>-10853</c:v>
                </c:pt>
                <c:pt idx="21">
                  <c:v>-10852</c:v>
                </c:pt>
                <c:pt idx="22">
                  <c:v>-10851.5</c:v>
                </c:pt>
                <c:pt idx="23">
                  <c:v>-10851.5</c:v>
                </c:pt>
                <c:pt idx="24">
                  <c:v>-10845</c:v>
                </c:pt>
                <c:pt idx="25">
                  <c:v>-10845</c:v>
                </c:pt>
                <c:pt idx="26">
                  <c:v>-10844.5</c:v>
                </c:pt>
                <c:pt idx="27">
                  <c:v>-10844</c:v>
                </c:pt>
                <c:pt idx="28">
                  <c:v>-10828.5</c:v>
                </c:pt>
                <c:pt idx="29">
                  <c:v>-10812</c:v>
                </c:pt>
                <c:pt idx="30">
                  <c:v>-10812</c:v>
                </c:pt>
                <c:pt idx="31">
                  <c:v>0</c:v>
                </c:pt>
                <c:pt idx="32">
                  <c:v>1553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2A-4609-BC59-E61694982D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1">
                    <c:v>0</c:v>
                  </c:pt>
                  <c:pt idx="32">
                    <c:v>1.2999999999999999E-4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-11588</c:v>
                </c:pt>
                <c:pt idx="1">
                  <c:v>-11588</c:v>
                </c:pt>
                <c:pt idx="2">
                  <c:v>-11587.5</c:v>
                </c:pt>
                <c:pt idx="3">
                  <c:v>-11563.5</c:v>
                </c:pt>
                <c:pt idx="4">
                  <c:v>-11563.5</c:v>
                </c:pt>
                <c:pt idx="5">
                  <c:v>-11549.5</c:v>
                </c:pt>
                <c:pt idx="6">
                  <c:v>-11549</c:v>
                </c:pt>
                <c:pt idx="7">
                  <c:v>-11549</c:v>
                </c:pt>
                <c:pt idx="8">
                  <c:v>-11549</c:v>
                </c:pt>
                <c:pt idx="9">
                  <c:v>-11549</c:v>
                </c:pt>
                <c:pt idx="10">
                  <c:v>-11509</c:v>
                </c:pt>
                <c:pt idx="11">
                  <c:v>-11186</c:v>
                </c:pt>
                <c:pt idx="12">
                  <c:v>-11023.5</c:v>
                </c:pt>
                <c:pt idx="13">
                  <c:v>-11006.5</c:v>
                </c:pt>
                <c:pt idx="14">
                  <c:v>-11006.5</c:v>
                </c:pt>
                <c:pt idx="15">
                  <c:v>-10883.5</c:v>
                </c:pt>
                <c:pt idx="16">
                  <c:v>-10868</c:v>
                </c:pt>
                <c:pt idx="17">
                  <c:v>-10867.5</c:v>
                </c:pt>
                <c:pt idx="18">
                  <c:v>-10867.5</c:v>
                </c:pt>
                <c:pt idx="19">
                  <c:v>-10867.5</c:v>
                </c:pt>
                <c:pt idx="20">
                  <c:v>-10853</c:v>
                </c:pt>
                <c:pt idx="21">
                  <c:v>-10852</c:v>
                </c:pt>
                <c:pt idx="22">
                  <c:v>-10851.5</c:v>
                </c:pt>
                <c:pt idx="23">
                  <c:v>-10851.5</c:v>
                </c:pt>
                <c:pt idx="24">
                  <c:v>-10845</c:v>
                </c:pt>
                <c:pt idx="25">
                  <c:v>-10845</c:v>
                </c:pt>
                <c:pt idx="26">
                  <c:v>-10844.5</c:v>
                </c:pt>
                <c:pt idx="27">
                  <c:v>-10844</c:v>
                </c:pt>
                <c:pt idx="28">
                  <c:v>-10828.5</c:v>
                </c:pt>
                <c:pt idx="29">
                  <c:v>-10812</c:v>
                </c:pt>
                <c:pt idx="30">
                  <c:v>-10812</c:v>
                </c:pt>
                <c:pt idx="31">
                  <c:v>0</c:v>
                </c:pt>
                <c:pt idx="32">
                  <c:v>1553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2A-4609-BC59-E61694982D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-11588</c:v>
                </c:pt>
                <c:pt idx="1">
                  <c:v>-11588</c:v>
                </c:pt>
                <c:pt idx="2">
                  <c:v>-11587.5</c:v>
                </c:pt>
                <c:pt idx="3">
                  <c:v>-11563.5</c:v>
                </c:pt>
                <c:pt idx="4">
                  <c:v>-11563.5</c:v>
                </c:pt>
                <c:pt idx="5">
                  <c:v>-11549.5</c:v>
                </c:pt>
                <c:pt idx="6">
                  <c:v>-11549</c:v>
                </c:pt>
                <c:pt idx="7">
                  <c:v>-11549</c:v>
                </c:pt>
                <c:pt idx="8">
                  <c:v>-11549</c:v>
                </c:pt>
                <c:pt idx="9">
                  <c:v>-11549</c:v>
                </c:pt>
                <c:pt idx="10">
                  <c:v>-11509</c:v>
                </c:pt>
                <c:pt idx="11">
                  <c:v>-11186</c:v>
                </c:pt>
                <c:pt idx="12">
                  <c:v>-11023.5</c:v>
                </c:pt>
                <c:pt idx="13">
                  <c:v>-11006.5</c:v>
                </c:pt>
                <c:pt idx="14">
                  <c:v>-11006.5</c:v>
                </c:pt>
                <c:pt idx="15">
                  <c:v>-10883.5</c:v>
                </c:pt>
                <c:pt idx="16">
                  <c:v>-10868</c:v>
                </c:pt>
                <c:pt idx="17">
                  <c:v>-10867.5</c:v>
                </c:pt>
                <c:pt idx="18">
                  <c:v>-10867.5</c:v>
                </c:pt>
                <c:pt idx="19">
                  <c:v>-10867.5</c:v>
                </c:pt>
                <c:pt idx="20">
                  <c:v>-10853</c:v>
                </c:pt>
                <c:pt idx="21">
                  <c:v>-10852</c:v>
                </c:pt>
                <c:pt idx="22">
                  <c:v>-10851.5</c:v>
                </c:pt>
                <c:pt idx="23">
                  <c:v>-10851.5</c:v>
                </c:pt>
                <c:pt idx="24">
                  <c:v>-10845</c:v>
                </c:pt>
                <c:pt idx="25">
                  <c:v>-10845</c:v>
                </c:pt>
                <c:pt idx="26">
                  <c:v>-10844.5</c:v>
                </c:pt>
                <c:pt idx="27">
                  <c:v>-10844</c:v>
                </c:pt>
                <c:pt idx="28">
                  <c:v>-10828.5</c:v>
                </c:pt>
                <c:pt idx="29">
                  <c:v>-10812</c:v>
                </c:pt>
                <c:pt idx="30">
                  <c:v>-10812</c:v>
                </c:pt>
                <c:pt idx="31">
                  <c:v>0</c:v>
                </c:pt>
                <c:pt idx="32">
                  <c:v>1553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2.5591158190030328E-4</c:v>
                </c:pt>
                <c:pt idx="1">
                  <c:v>2.5591158190030328E-4</c:v>
                </c:pt>
                <c:pt idx="2">
                  <c:v>2.5539945155080533E-4</c:v>
                </c:pt>
                <c:pt idx="3">
                  <c:v>2.3081719477493524E-4</c:v>
                </c:pt>
                <c:pt idx="4">
                  <c:v>2.3081719477493524E-4</c:v>
                </c:pt>
                <c:pt idx="5">
                  <c:v>2.1647754498901016E-4</c:v>
                </c:pt>
                <c:pt idx="6">
                  <c:v>2.1596541463951395E-4</c:v>
                </c:pt>
                <c:pt idx="7">
                  <c:v>2.1596541463951395E-4</c:v>
                </c:pt>
                <c:pt idx="8">
                  <c:v>2.1596541463951395E-4</c:v>
                </c:pt>
                <c:pt idx="9">
                  <c:v>2.1596541463951395E-4</c:v>
                </c:pt>
                <c:pt idx="10">
                  <c:v>1.7499498667972874E-4</c:v>
                </c:pt>
                <c:pt idx="11">
                  <c:v>-1.5584121909552849E-4</c:v>
                </c:pt>
                <c:pt idx="12">
                  <c:v>-3.2228358268215386E-4</c:v>
                </c:pt>
                <c:pt idx="13">
                  <c:v>-3.396960145650614E-4</c:v>
                </c:pt>
                <c:pt idx="14">
                  <c:v>-3.396960145650614E-4</c:v>
                </c:pt>
                <c:pt idx="15">
                  <c:v>-4.6568008054139777E-4</c:v>
                </c:pt>
                <c:pt idx="16">
                  <c:v>-4.8155612137581495E-4</c:v>
                </c:pt>
                <c:pt idx="17">
                  <c:v>-4.820682517253129E-4</c:v>
                </c:pt>
                <c:pt idx="18">
                  <c:v>-4.820682517253129E-4</c:v>
                </c:pt>
                <c:pt idx="19">
                  <c:v>-4.820682517253129E-4</c:v>
                </c:pt>
                <c:pt idx="20">
                  <c:v>-4.9692003186073419E-4</c:v>
                </c:pt>
                <c:pt idx="21">
                  <c:v>-4.9794429255972834E-4</c:v>
                </c:pt>
                <c:pt idx="22">
                  <c:v>-4.9845642290922629E-4</c:v>
                </c:pt>
                <c:pt idx="23">
                  <c:v>-4.9845642290922629E-4</c:v>
                </c:pt>
                <c:pt idx="24">
                  <c:v>-5.0511411745269089E-4</c:v>
                </c:pt>
                <c:pt idx="25">
                  <c:v>-5.0511411745269089E-4</c:v>
                </c:pt>
                <c:pt idx="26">
                  <c:v>-5.0562624780218883E-4</c:v>
                </c:pt>
                <c:pt idx="27">
                  <c:v>-5.0613837815168504E-4</c:v>
                </c:pt>
                <c:pt idx="28">
                  <c:v>-5.2201441898610222E-4</c:v>
                </c:pt>
                <c:pt idx="29">
                  <c:v>-5.3891472051951356E-4</c:v>
                </c:pt>
                <c:pt idx="30">
                  <c:v>-5.3891472051951356E-4</c:v>
                </c:pt>
                <c:pt idx="31">
                  <c:v>-1.1613221398049225E-2</c:v>
                </c:pt>
                <c:pt idx="32">
                  <c:v>-1.3203898263587853E-2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2A-4609-BC59-E61694982D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-11588</c:v>
                </c:pt>
                <c:pt idx="1">
                  <c:v>-11588</c:v>
                </c:pt>
                <c:pt idx="2">
                  <c:v>-11587.5</c:v>
                </c:pt>
                <c:pt idx="3">
                  <c:v>-11563.5</c:v>
                </c:pt>
                <c:pt idx="4">
                  <c:v>-11563.5</c:v>
                </c:pt>
                <c:pt idx="5">
                  <c:v>-11549.5</c:v>
                </c:pt>
                <c:pt idx="6">
                  <c:v>-11549</c:v>
                </c:pt>
                <c:pt idx="7">
                  <c:v>-11549</c:v>
                </c:pt>
                <c:pt idx="8">
                  <c:v>-11549</c:v>
                </c:pt>
                <c:pt idx="9">
                  <c:v>-11549</c:v>
                </c:pt>
                <c:pt idx="10">
                  <c:v>-11509</c:v>
                </c:pt>
                <c:pt idx="11">
                  <c:v>-11186</c:v>
                </c:pt>
                <c:pt idx="12">
                  <c:v>-11023.5</c:v>
                </c:pt>
                <c:pt idx="13">
                  <c:v>-11006.5</c:v>
                </c:pt>
                <c:pt idx="14">
                  <c:v>-11006.5</c:v>
                </c:pt>
                <c:pt idx="15">
                  <c:v>-10883.5</c:v>
                </c:pt>
                <c:pt idx="16">
                  <c:v>-10868</c:v>
                </c:pt>
                <c:pt idx="17">
                  <c:v>-10867.5</c:v>
                </c:pt>
                <c:pt idx="18">
                  <c:v>-10867.5</c:v>
                </c:pt>
                <c:pt idx="19">
                  <c:v>-10867.5</c:v>
                </c:pt>
                <c:pt idx="20">
                  <c:v>-10853</c:v>
                </c:pt>
                <c:pt idx="21">
                  <c:v>-10852</c:v>
                </c:pt>
                <c:pt idx="22">
                  <c:v>-10851.5</c:v>
                </c:pt>
                <c:pt idx="23">
                  <c:v>-10851.5</c:v>
                </c:pt>
                <c:pt idx="24">
                  <c:v>-10845</c:v>
                </c:pt>
                <c:pt idx="25">
                  <c:v>-10845</c:v>
                </c:pt>
                <c:pt idx="26">
                  <c:v>-10844.5</c:v>
                </c:pt>
                <c:pt idx="27">
                  <c:v>-10844</c:v>
                </c:pt>
                <c:pt idx="28">
                  <c:v>-10828.5</c:v>
                </c:pt>
                <c:pt idx="29">
                  <c:v>-10812</c:v>
                </c:pt>
                <c:pt idx="30">
                  <c:v>-10812</c:v>
                </c:pt>
                <c:pt idx="31">
                  <c:v>0</c:v>
                </c:pt>
                <c:pt idx="32">
                  <c:v>1553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2A-4609-BC59-E61694982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799808"/>
        <c:axId val="1"/>
      </c:scatterChart>
      <c:valAx>
        <c:axId val="71979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799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41353383458646"/>
          <c:y val="0.92375366568914952"/>
          <c:w val="0.8045112781954887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1</xdr:rowOff>
    </xdr:from>
    <xdr:to>
      <xdr:col>17</xdr:col>
      <xdr:colOff>352425</xdr:colOff>
      <xdr:row>18</xdr:row>
      <xdr:rowOff>66676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DE7CFD-CA3B-3B76-60DB-F56FF2CA2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3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3" customFormat="1" ht="20.25" x14ac:dyDescent="0.2">
      <c r="A1" s="55" t="s">
        <v>41</v>
      </c>
      <c r="E1" s="23" t="s">
        <v>42</v>
      </c>
    </row>
    <row r="2" spans="1:7" s="23" customFormat="1" ht="12.95" customHeight="1" x14ac:dyDescent="0.2">
      <c r="A2" s="23" t="s">
        <v>23</v>
      </c>
      <c r="B2" s="23" t="s">
        <v>43</v>
      </c>
      <c r="C2" s="24" t="s">
        <v>39</v>
      </c>
      <c r="D2" s="25" t="s">
        <v>44</v>
      </c>
      <c r="E2" s="26" t="s">
        <v>40</v>
      </c>
      <c r="F2" s="23" t="s">
        <v>45</v>
      </c>
    </row>
    <row r="3" spans="1:7" s="23" customFormat="1" ht="12.95" customHeight="1" thickBot="1" x14ac:dyDescent="0.25">
      <c r="E3" s="23" t="s">
        <v>45</v>
      </c>
    </row>
    <row r="4" spans="1:7" s="23" customFormat="1" ht="12.95" customHeight="1" thickTop="1" thickBot="1" x14ac:dyDescent="0.25">
      <c r="A4" s="27" t="s">
        <v>0</v>
      </c>
      <c r="C4" s="28" t="s">
        <v>38</v>
      </c>
      <c r="D4" s="29" t="s">
        <v>38</v>
      </c>
    </row>
    <row r="5" spans="1:7" s="23" customFormat="1" ht="12.95" customHeight="1" x14ac:dyDescent="0.2"/>
    <row r="6" spans="1:7" s="23" customFormat="1" ht="12.95" customHeight="1" x14ac:dyDescent="0.2">
      <c r="A6" s="27" t="s">
        <v>1</v>
      </c>
    </row>
    <row r="7" spans="1:7" s="23" customFormat="1" ht="12.95" customHeight="1" x14ac:dyDescent="0.2">
      <c r="A7" s="23" t="s">
        <v>2</v>
      </c>
      <c r="C7" s="56">
        <v>52502.088000000003</v>
      </c>
      <c r="D7" s="31" t="s">
        <v>46</v>
      </c>
    </row>
    <row r="8" spans="1:7" s="23" customFormat="1" ht="12.95" customHeight="1" x14ac:dyDescent="0.2">
      <c r="A8" s="23" t="s">
        <v>3</v>
      </c>
      <c r="C8" s="56">
        <v>2.1228989999999999</v>
      </c>
      <c r="D8" s="31" t="s">
        <v>46</v>
      </c>
    </row>
    <row r="9" spans="1:7" s="23" customFormat="1" ht="12.95" customHeight="1" x14ac:dyDescent="0.2">
      <c r="A9" s="32" t="s">
        <v>28</v>
      </c>
      <c r="C9" s="33">
        <v>-9.5</v>
      </c>
      <c r="D9" s="23" t="s">
        <v>29</v>
      </c>
    </row>
    <row r="10" spans="1:7" s="23" customFormat="1" ht="12.95" customHeight="1" thickBot="1" x14ac:dyDescent="0.25">
      <c r="C10" s="34" t="s">
        <v>19</v>
      </c>
      <c r="D10" s="34" t="s">
        <v>20</v>
      </c>
    </row>
    <row r="11" spans="1:7" s="23" customFormat="1" ht="12.95" customHeight="1" x14ac:dyDescent="0.2">
      <c r="A11" s="23" t="s">
        <v>15</v>
      </c>
      <c r="C11" s="35">
        <f ca="1">INTERCEPT(INDIRECT($G$11):G992,INDIRECT($F$11):F992)</f>
        <v>-1.1613221398049225E-2</v>
      </c>
      <c r="D11" s="25"/>
      <c r="F11" s="36" t="str">
        <f>"F"&amp;E19</f>
        <v>F21</v>
      </c>
      <c r="G11" s="35" t="str">
        <f>"G"&amp;E19</f>
        <v>G21</v>
      </c>
    </row>
    <row r="12" spans="1:7" s="23" customFormat="1" ht="12.95" customHeight="1" x14ac:dyDescent="0.2">
      <c r="A12" s="23" t="s">
        <v>16</v>
      </c>
      <c r="C12" s="35">
        <f ca="1">SLOPE(INDIRECT($G$11):G992,INDIRECT($F$11):F992)</f>
        <v>-1.024260698994609E-6</v>
      </c>
      <c r="D12" s="25"/>
    </row>
    <row r="13" spans="1:7" s="23" customFormat="1" ht="12.95" customHeight="1" x14ac:dyDescent="0.2">
      <c r="A13" s="23" t="s">
        <v>18</v>
      </c>
      <c r="C13" s="25" t="s">
        <v>13</v>
      </c>
      <c r="D13" s="37" t="s">
        <v>35</v>
      </c>
      <c r="E13" s="33">
        <v>1</v>
      </c>
    </row>
    <row r="14" spans="1:7" s="23" customFormat="1" ht="12.95" customHeight="1" x14ac:dyDescent="0.2">
      <c r="D14" s="37" t="s">
        <v>30</v>
      </c>
      <c r="E14" s="38">
        <f ca="1">NOW()+15018.5+$C$9/24</f>
        <v>60374.805317013888</v>
      </c>
    </row>
    <row r="15" spans="1:7" s="23" customFormat="1" ht="12.95" customHeight="1" x14ac:dyDescent="0.2">
      <c r="A15" s="39" t="s">
        <v>17</v>
      </c>
      <c r="C15" s="40">
        <f ca="1">(C7+C11)+(C8+C12)*INT(MAX(F21:F3533))</f>
        <v>55798.93694310174</v>
      </c>
      <c r="D15" s="37" t="s">
        <v>36</v>
      </c>
      <c r="E15" s="38">
        <f ca="1">ROUND(2*(E14-$C$7)/$C$8,0)/2+E13</f>
        <v>3709.5</v>
      </c>
    </row>
    <row r="16" spans="1:7" s="23" customFormat="1" ht="12.95" customHeight="1" x14ac:dyDescent="0.2">
      <c r="A16" s="27" t="s">
        <v>4</v>
      </c>
      <c r="C16" s="41">
        <f ca="1">+C8+C12</f>
        <v>2.1228979757393009</v>
      </c>
      <c r="D16" s="37" t="s">
        <v>37</v>
      </c>
      <c r="E16" s="35">
        <f ca="1">ROUND(2*(E14-$C$15)/$C$16,0)/2+E13</f>
        <v>2156.5</v>
      </c>
    </row>
    <row r="17" spans="1:19" s="23" customFormat="1" ht="12.95" customHeight="1" thickBot="1" x14ac:dyDescent="0.25">
      <c r="A17" s="37" t="s">
        <v>27</v>
      </c>
      <c r="C17" s="23">
        <f>COUNT(C21:C2191)</f>
        <v>33</v>
      </c>
      <c r="D17" s="37" t="s">
        <v>31</v>
      </c>
      <c r="E17" s="42">
        <f ca="1">+$C$15+$C$16*E16-15018.5-$C$9/24</f>
        <v>45358.862261116876</v>
      </c>
    </row>
    <row r="18" spans="1:19" s="23" customFormat="1" ht="12.95" customHeight="1" thickTop="1" thickBot="1" x14ac:dyDescent="0.25">
      <c r="A18" s="27" t="s">
        <v>5</v>
      </c>
      <c r="C18" s="43">
        <f ca="1">+C15</f>
        <v>55798.93694310174</v>
      </c>
      <c r="D18" s="44">
        <f ca="1">+C16</f>
        <v>2.1228979757393009</v>
      </c>
      <c r="E18" s="45" t="s">
        <v>32</v>
      </c>
    </row>
    <row r="19" spans="1:19" s="23" customFormat="1" ht="12.95" customHeight="1" thickTop="1" x14ac:dyDescent="0.2">
      <c r="A19" s="46" t="s">
        <v>33</v>
      </c>
      <c r="E19" s="47">
        <v>21</v>
      </c>
      <c r="S19" s="23">
        <f>SQRT(SUM(S21:S50)/(COUNT(S21:S50)-1))</f>
        <v>0</v>
      </c>
    </row>
    <row r="20" spans="1:19" s="23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48" t="s">
        <v>46</v>
      </c>
      <c r="I20" s="48" t="s">
        <v>59</v>
      </c>
      <c r="J20" s="48" t="s">
        <v>53</v>
      </c>
      <c r="K20" s="48" t="s">
        <v>51</v>
      </c>
      <c r="L20" s="48" t="s">
        <v>24</v>
      </c>
      <c r="M20" s="48" t="s">
        <v>25</v>
      </c>
      <c r="N20" s="48" t="s">
        <v>26</v>
      </c>
      <c r="O20" s="48" t="s">
        <v>22</v>
      </c>
      <c r="P20" s="49" t="s">
        <v>21</v>
      </c>
      <c r="Q20" s="34" t="s">
        <v>14</v>
      </c>
      <c r="R20" s="50" t="s">
        <v>34</v>
      </c>
    </row>
    <row r="21" spans="1:19" s="23" customFormat="1" ht="12.95" customHeight="1" x14ac:dyDescent="0.2">
      <c r="A21" s="51" t="s">
        <v>66</v>
      </c>
      <c r="B21" s="52" t="s">
        <v>48</v>
      </c>
      <c r="C21" s="53">
        <v>27901.964</v>
      </c>
      <c r="D21" s="30"/>
      <c r="E21" s="23">
        <f t="shared" ref="E21:E53" si="0">+(C21-C$7)/C$8</f>
        <v>-11587.986051149868</v>
      </c>
      <c r="F21" s="23">
        <f t="shared" ref="F21:F53" si="1">ROUND(2*E21,0)/2</f>
        <v>-11588</v>
      </c>
      <c r="G21" s="23">
        <f t="shared" ref="G21:G53" si="2">+C21-(C$7+F21*C$8)</f>
        <v>2.9611999994813232E-2</v>
      </c>
      <c r="I21" s="23">
        <f>+G21</f>
        <v>2.9611999994813232E-2</v>
      </c>
      <c r="O21" s="23">
        <f t="shared" ref="O21:O53" ca="1" si="3">+C$11+C$12*$F21</f>
        <v>2.5591158190030328E-4</v>
      </c>
      <c r="Q21" s="54">
        <f t="shared" ref="Q21:Q53" si="4">+C21-15018.5</f>
        <v>12883.464</v>
      </c>
    </row>
    <row r="22" spans="1:19" s="23" customFormat="1" ht="12.95" customHeight="1" x14ac:dyDescent="0.2">
      <c r="A22" s="51" t="s">
        <v>66</v>
      </c>
      <c r="B22" s="52" t="s">
        <v>48</v>
      </c>
      <c r="C22" s="53">
        <v>27901.995999999999</v>
      </c>
      <c r="D22" s="30"/>
      <c r="E22" s="23">
        <f t="shared" si="0"/>
        <v>-11587.970977422858</v>
      </c>
      <c r="F22" s="23">
        <f t="shared" si="1"/>
        <v>-11588</v>
      </c>
      <c r="G22" s="23">
        <f t="shared" si="2"/>
        <v>6.1611999994056532E-2</v>
      </c>
      <c r="I22" s="23">
        <f>+G22</f>
        <v>6.1611999994056532E-2</v>
      </c>
      <c r="O22" s="23">
        <f t="shared" ca="1" si="3"/>
        <v>2.5591158190030328E-4</v>
      </c>
      <c r="Q22" s="54">
        <f t="shared" si="4"/>
        <v>12883.495999999999</v>
      </c>
    </row>
    <row r="23" spans="1:19" s="23" customFormat="1" ht="12.95" customHeight="1" x14ac:dyDescent="0.2">
      <c r="A23" s="51" t="s">
        <v>66</v>
      </c>
      <c r="B23" s="52" t="s">
        <v>48</v>
      </c>
      <c r="C23" s="53">
        <v>27902.975999999999</v>
      </c>
      <c r="D23" s="30"/>
      <c r="E23" s="23">
        <f t="shared" si="0"/>
        <v>-11587.509344533115</v>
      </c>
      <c r="F23" s="23">
        <f t="shared" si="1"/>
        <v>-11587.5</v>
      </c>
      <c r="G23" s="23">
        <f t="shared" si="2"/>
        <v>-1.9837500007270137E-2</v>
      </c>
      <c r="I23" s="23">
        <f>+G23</f>
        <v>-1.9837500007270137E-2</v>
      </c>
      <c r="O23" s="23">
        <f t="shared" ca="1" si="3"/>
        <v>2.5539945155080533E-4</v>
      </c>
      <c r="Q23" s="54">
        <f t="shared" si="4"/>
        <v>12884.475999999999</v>
      </c>
    </row>
    <row r="24" spans="1:19" s="23" customFormat="1" ht="12.95" customHeight="1" x14ac:dyDescent="0.2">
      <c r="A24" s="51" t="s">
        <v>66</v>
      </c>
      <c r="B24" s="52" t="s">
        <v>48</v>
      </c>
      <c r="C24" s="53">
        <v>27953.915000000001</v>
      </c>
      <c r="D24" s="30"/>
      <c r="E24" s="23">
        <f t="shared" si="0"/>
        <v>-11563.514326399893</v>
      </c>
      <c r="F24" s="23">
        <f t="shared" si="1"/>
        <v>-11563.5</v>
      </c>
      <c r="G24" s="23">
        <f t="shared" si="2"/>
        <v>-3.0413500004215166E-2</v>
      </c>
      <c r="I24" s="23">
        <f>+G24</f>
        <v>-3.0413500004215166E-2</v>
      </c>
      <c r="O24" s="23">
        <f t="shared" ca="1" si="3"/>
        <v>2.3081719477493524E-4</v>
      </c>
      <c r="Q24" s="54">
        <f t="shared" si="4"/>
        <v>12935.415000000001</v>
      </c>
    </row>
    <row r="25" spans="1:19" s="23" customFormat="1" ht="12.95" customHeight="1" x14ac:dyDescent="0.2">
      <c r="A25" s="51" t="s">
        <v>66</v>
      </c>
      <c r="B25" s="52" t="s">
        <v>48</v>
      </c>
      <c r="C25" s="53">
        <v>27953.940999999999</v>
      </c>
      <c r="D25" s="30"/>
      <c r="E25" s="23">
        <f t="shared" si="0"/>
        <v>-11563.502078996695</v>
      </c>
      <c r="F25" s="23">
        <f t="shared" si="1"/>
        <v>-11563.5</v>
      </c>
      <c r="G25" s="23">
        <f t="shared" si="2"/>
        <v>-4.4135000061942264E-3</v>
      </c>
      <c r="I25" s="23">
        <f>+G25</f>
        <v>-4.4135000061942264E-3</v>
      </c>
      <c r="O25" s="23">
        <f t="shared" ca="1" si="3"/>
        <v>2.3081719477493524E-4</v>
      </c>
      <c r="Q25" s="54">
        <f t="shared" si="4"/>
        <v>12935.440999999999</v>
      </c>
    </row>
    <row r="26" spans="1:19" s="23" customFormat="1" ht="12.95" customHeight="1" x14ac:dyDescent="0.2">
      <c r="A26" s="51" t="s">
        <v>66</v>
      </c>
      <c r="B26" s="52" t="s">
        <v>48</v>
      </c>
      <c r="C26" s="53">
        <v>27983.7</v>
      </c>
      <c r="D26" s="30"/>
      <c r="E26" s="23">
        <f t="shared" si="0"/>
        <v>-11549.483983929525</v>
      </c>
      <c r="F26" s="23">
        <f t="shared" si="1"/>
        <v>-11549.5</v>
      </c>
      <c r="G26" s="23">
        <f t="shared" si="2"/>
        <v>3.4000499996182043E-2</v>
      </c>
      <c r="I26" s="23">
        <f>+G26</f>
        <v>3.4000499996182043E-2</v>
      </c>
      <c r="O26" s="23">
        <f t="shared" ca="1" si="3"/>
        <v>2.1647754498901016E-4</v>
      </c>
      <c r="Q26" s="54">
        <f t="shared" si="4"/>
        <v>12965.2</v>
      </c>
    </row>
    <row r="27" spans="1:19" s="23" customFormat="1" ht="12.95" customHeight="1" x14ac:dyDescent="0.2">
      <c r="A27" s="51" t="s">
        <v>66</v>
      </c>
      <c r="B27" s="52" t="s">
        <v>48</v>
      </c>
      <c r="C27" s="53">
        <v>27984.697</v>
      </c>
      <c r="D27" s="30"/>
      <c r="E27" s="23">
        <f t="shared" si="0"/>
        <v>-11549.014343122308</v>
      </c>
      <c r="F27" s="23">
        <f t="shared" si="1"/>
        <v>-11549</v>
      </c>
      <c r="G27" s="23">
        <f t="shared" si="2"/>
        <v>-3.0449000005319249E-2</v>
      </c>
      <c r="I27" s="23">
        <f>+G27</f>
        <v>-3.0449000005319249E-2</v>
      </c>
      <c r="O27" s="23">
        <f t="shared" ca="1" si="3"/>
        <v>2.1596541463951395E-4</v>
      </c>
      <c r="Q27" s="54">
        <f t="shared" si="4"/>
        <v>12966.197</v>
      </c>
    </row>
    <row r="28" spans="1:19" s="23" customFormat="1" ht="12.95" customHeight="1" x14ac:dyDescent="0.2">
      <c r="A28" s="51" t="s">
        <v>66</v>
      </c>
      <c r="B28" s="52" t="s">
        <v>48</v>
      </c>
      <c r="C28" s="53">
        <v>27984.703000000001</v>
      </c>
      <c r="D28" s="30"/>
      <c r="E28" s="23">
        <f t="shared" si="0"/>
        <v>-11549.011516798493</v>
      </c>
      <c r="F28" s="23">
        <f t="shared" si="1"/>
        <v>-11549</v>
      </c>
      <c r="G28" s="23">
        <f t="shared" si="2"/>
        <v>-2.4449000004096888E-2</v>
      </c>
      <c r="I28" s="23">
        <f>+G28</f>
        <v>-2.4449000004096888E-2</v>
      </c>
      <c r="O28" s="23">
        <f t="shared" ca="1" si="3"/>
        <v>2.1596541463951395E-4</v>
      </c>
      <c r="Q28" s="54">
        <f t="shared" si="4"/>
        <v>12966.203000000001</v>
      </c>
    </row>
    <row r="29" spans="1:19" s="23" customFormat="1" ht="12.95" customHeight="1" x14ac:dyDescent="0.2">
      <c r="A29" s="51" t="s">
        <v>66</v>
      </c>
      <c r="B29" s="52" t="s">
        <v>48</v>
      </c>
      <c r="C29" s="53">
        <v>27984.746999999999</v>
      </c>
      <c r="D29" s="30"/>
      <c r="E29" s="23">
        <f t="shared" si="0"/>
        <v>-11548.990790423852</v>
      </c>
      <c r="F29" s="23">
        <f t="shared" si="1"/>
        <v>-11549</v>
      </c>
      <c r="G29" s="23">
        <f t="shared" si="2"/>
        <v>1.9550999993953155E-2</v>
      </c>
      <c r="I29" s="23">
        <f>+G29</f>
        <v>1.9550999993953155E-2</v>
      </c>
      <c r="O29" s="23">
        <f t="shared" ca="1" si="3"/>
        <v>2.1596541463951395E-4</v>
      </c>
      <c r="Q29" s="54">
        <f t="shared" si="4"/>
        <v>12966.246999999999</v>
      </c>
    </row>
    <row r="30" spans="1:19" s="23" customFormat="1" ht="12.95" customHeight="1" x14ac:dyDescent="0.2">
      <c r="A30" s="51" t="s">
        <v>66</v>
      </c>
      <c r="B30" s="52" t="s">
        <v>48</v>
      </c>
      <c r="C30" s="53">
        <v>27984.774000000001</v>
      </c>
      <c r="D30" s="30"/>
      <c r="E30" s="23">
        <f t="shared" si="0"/>
        <v>-11548.978071966685</v>
      </c>
      <c r="F30" s="23">
        <f t="shared" si="1"/>
        <v>-11549</v>
      </c>
      <c r="G30" s="23">
        <f t="shared" si="2"/>
        <v>4.6550999995815801E-2</v>
      </c>
      <c r="I30" s="23">
        <f>+G30</f>
        <v>4.6550999995815801E-2</v>
      </c>
      <c r="O30" s="23">
        <f t="shared" ca="1" si="3"/>
        <v>2.1596541463951395E-4</v>
      </c>
      <c r="Q30" s="54">
        <f t="shared" si="4"/>
        <v>12966.274000000001</v>
      </c>
    </row>
    <row r="31" spans="1:19" s="23" customFormat="1" ht="12.95" customHeight="1" x14ac:dyDescent="0.2">
      <c r="A31" s="51" t="s">
        <v>66</v>
      </c>
      <c r="B31" s="52" t="s">
        <v>48</v>
      </c>
      <c r="C31" s="53">
        <v>28069.641</v>
      </c>
      <c r="D31" s="30"/>
      <c r="E31" s="23">
        <f t="shared" si="0"/>
        <v>-11509.001134769014</v>
      </c>
      <c r="F31" s="23">
        <f t="shared" si="1"/>
        <v>-11509</v>
      </c>
      <c r="G31" s="23">
        <f t="shared" si="2"/>
        <v>-2.4090000042633619E-3</v>
      </c>
      <c r="I31" s="23">
        <f>+G31</f>
        <v>-2.4090000042633619E-3</v>
      </c>
      <c r="O31" s="23">
        <f t="shared" ca="1" si="3"/>
        <v>1.7499498667972874E-4</v>
      </c>
      <c r="Q31" s="54">
        <f t="shared" si="4"/>
        <v>13051.141</v>
      </c>
    </row>
    <row r="32" spans="1:19" s="23" customFormat="1" ht="12.95" customHeight="1" x14ac:dyDescent="0.2">
      <c r="A32" s="51" t="s">
        <v>66</v>
      </c>
      <c r="B32" s="52" t="s">
        <v>48</v>
      </c>
      <c r="C32" s="53">
        <v>28755.355</v>
      </c>
      <c r="D32" s="30"/>
      <c r="E32" s="23">
        <f t="shared" si="0"/>
        <v>-11185.992833384917</v>
      </c>
      <c r="F32" s="23">
        <f t="shared" si="1"/>
        <v>-11186</v>
      </c>
      <c r="G32" s="23">
        <f t="shared" si="2"/>
        <v>1.521399999546702E-2</v>
      </c>
      <c r="I32" s="23">
        <f>+G32</f>
        <v>1.521399999546702E-2</v>
      </c>
      <c r="O32" s="23">
        <f t="shared" ca="1" si="3"/>
        <v>-1.5584121909552849E-4</v>
      </c>
      <c r="Q32" s="54">
        <f t="shared" si="4"/>
        <v>13736.855</v>
      </c>
    </row>
    <row r="33" spans="1:17" s="23" customFormat="1" ht="12.95" customHeight="1" x14ac:dyDescent="0.2">
      <c r="A33" s="51" t="s">
        <v>66</v>
      </c>
      <c r="B33" s="52" t="s">
        <v>48</v>
      </c>
      <c r="C33" s="53">
        <v>29100.303</v>
      </c>
      <c r="D33" s="30"/>
      <c r="E33" s="23">
        <f t="shared" si="0"/>
        <v>-11023.503708843427</v>
      </c>
      <c r="F33" s="23">
        <f t="shared" si="1"/>
        <v>-11023.5</v>
      </c>
      <c r="G33" s="23">
        <f t="shared" si="2"/>
        <v>-7.8735000060987659E-3</v>
      </c>
      <c r="I33" s="23">
        <f>+G33</f>
        <v>-7.8735000060987659E-3</v>
      </c>
      <c r="O33" s="23">
        <f t="shared" ca="1" si="3"/>
        <v>-3.2228358268215386E-4</v>
      </c>
      <c r="Q33" s="54">
        <f t="shared" si="4"/>
        <v>14081.803</v>
      </c>
    </row>
    <row r="34" spans="1:17" s="23" customFormat="1" ht="12.95" customHeight="1" x14ac:dyDescent="0.2">
      <c r="A34" s="51" t="s">
        <v>66</v>
      </c>
      <c r="B34" s="52" t="s">
        <v>48</v>
      </c>
      <c r="C34" s="53">
        <v>29136.362000000001</v>
      </c>
      <c r="D34" s="30"/>
      <c r="E34" s="23">
        <f t="shared" si="0"/>
        <v>-11006.517973770775</v>
      </c>
      <c r="F34" s="23">
        <f t="shared" si="1"/>
        <v>-11006.5</v>
      </c>
      <c r="G34" s="23">
        <f t="shared" si="2"/>
        <v>-3.8156500002514804E-2</v>
      </c>
      <c r="I34" s="23">
        <f>+G34</f>
        <v>-3.8156500002514804E-2</v>
      </c>
      <c r="O34" s="23">
        <f t="shared" ca="1" si="3"/>
        <v>-3.396960145650614E-4</v>
      </c>
      <c r="Q34" s="54">
        <f t="shared" si="4"/>
        <v>14117.862000000001</v>
      </c>
    </row>
    <row r="35" spans="1:17" x14ac:dyDescent="0.2">
      <c r="A35" s="20" t="s">
        <v>66</v>
      </c>
      <c r="B35" s="22" t="s">
        <v>48</v>
      </c>
      <c r="C35" s="21">
        <v>29136.383999999998</v>
      </c>
      <c r="D35" s="3"/>
      <c r="E35">
        <f t="shared" si="0"/>
        <v>-11006.507610583456</v>
      </c>
      <c r="F35">
        <f t="shared" si="1"/>
        <v>-11006.5</v>
      </c>
      <c r="G35">
        <f t="shared" si="2"/>
        <v>-1.6156500005308772E-2</v>
      </c>
      <c r="I35">
        <f>+G35</f>
        <v>-1.6156500005308772E-2</v>
      </c>
      <c r="O35">
        <f t="shared" ca="1" si="3"/>
        <v>-3.396960145650614E-4</v>
      </c>
      <c r="Q35" s="1">
        <f t="shared" si="4"/>
        <v>14117.883999999998</v>
      </c>
    </row>
    <row r="36" spans="1:17" x14ac:dyDescent="0.2">
      <c r="A36" s="20" t="s">
        <v>66</v>
      </c>
      <c r="B36" s="22" t="s">
        <v>48</v>
      </c>
      <c r="C36" s="21">
        <v>29397.54</v>
      </c>
      <c r="D36" s="3"/>
      <c r="E36">
        <f t="shared" si="0"/>
        <v>-10883.489040222828</v>
      </c>
      <c r="F36">
        <f t="shared" si="1"/>
        <v>-10883.5</v>
      </c>
      <c r="G36">
        <f t="shared" si="2"/>
        <v>2.3266499996680068E-2</v>
      </c>
      <c r="I36">
        <f>+G36</f>
        <v>2.3266499996680068E-2</v>
      </c>
      <c r="O36">
        <f t="shared" ca="1" si="3"/>
        <v>-4.6568008054139777E-4</v>
      </c>
      <c r="Q36" s="1">
        <f t="shared" si="4"/>
        <v>14379.04</v>
      </c>
    </row>
    <row r="37" spans="1:17" x14ac:dyDescent="0.2">
      <c r="A37" s="20" t="s">
        <v>66</v>
      </c>
      <c r="B37" s="22" t="s">
        <v>48</v>
      </c>
      <c r="C37" s="21">
        <v>29430.434000000001</v>
      </c>
      <c r="D37" s="3"/>
      <c r="E37">
        <f t="shared" si="0"/>
        <v>-10867.994190962454</v>
      </c>
      <c r="F37">
        <f t="shared" si="1"/>
        <v>-10868</v>
      </c>
      <c r="G37">
        <f t="shared" si="2"/>
        <v>1.2331999994785292E-2</v>
      </c>
      <c r="I37">
        <f>+G37</f>
        <v>1.2331999994785292E-2</v>
      </c>
      <c r="O37">
        <f t="shared" ca="1" si="3"/>
        <v>-4.8155612137581495E-4</v>
      </c>
      <c r="Q37" s="1">
        <f t="shared" si="4"/>
        <v>14411.934000000001</v>
      </c>
    </row>
    <row r="38" spans="1:17" x14ac:dyDescent="0.2">
      <c r="A38" s="20" t="s">
        <v>66</v>
      </c>
      <c r="B38" s="22" t="s">
        <v>48</v>
      </c>
      <c r="C38" s="21">
        <v>29431.434000000001</v>
      </c>
      <c r="D38" s="3"/>
      <c r="E38">
        <f t="shared" si="0"/>
        <v>-10867.52313699333</v>
      </c>
      <c r="F38">
        <f t="shared" si="1"/>
        <v>-10867.5</v>
      </c>
      <c r="G38">
        <f t="shared" si="2"/>
        <v>-4.9117500002466841E-2</v>
      </c>
      <c r="I38">
        <f>+G38</f>
        <v>-4.9117500002466841E-2</v>
      </c>
      <c r="O38">
        <f t="shared" ca="1" si="3"/>
        <v>-4.820682517253129E-4</v>
      </c>
      <c r="Q38" s="1">
        <f t="shared" si="4"/>
        <v>14412.934000000001</v>
      </c>
    </row>
    <row r="39" spans="1:17" x14ac:dyDescent="0.2">
      <c r="A39" s="20" t="s">
        <v>66</v>
      </c>
      <c r="B39" s="22" t="s">
        <v>48</v>
      </c>
      <c r="C39" s="21">
        <v>29431.475999999999</v>
      </c>
      <c r="D39" s="3"/>
      <c r="E39">
        <f t="shared" si="0"/>
        <v>-10867.503352726628</v>
      </c>
      <c r="F39">
        <f t="shared" si="1"/>
        <v>-10867.5</v>
      </c>
      <c r="G39">
        <f t="shared" si="2"/>
        <v>-7.1175000048242509E-3</v>
      </c>
      <c r="I39">
        <f>+G39</f>
        <v>-7.1175000048242509E-3</v>
      </c>
      <c r="O39">
        <f t="shared" ca="1" si="3"/>
        <v>-4.820682517253129E-4</v>
      </c>
      <c r="Q39" s="1">
        <f t="shared" si="4"/>
        <v>14412.975999999999</v>
      </c>
    </row>
    <row r="40" spans="1:17" x14ac:dyDescent="0.2">
      <c r="A40" s="20" t="s">
        <v>66</v>
      </c>
      <c r="B40" s="22" t="s">
        <v>48</v>
      </c>
      <c r="C40" s="21">
        <v>29431.498</v>
      </c>
      <c r="D40" s="3"/>
      <c r="E40">
        <f t="shared" si="0"/>
        <v>-10867.492989539307</v>
      </c>
      <c r="F40">
        <f t="shared" si="1"/>
        <v>-10867.5</v>
      </c>
      <c r="G40">
        <f t="shared" si="2"/>
        <v>1.488249999601976E-2</v>
      </c>
      <c r="I40">
        <f>+G40</f>
        <v>1.488249999601976E-2</v>
      </c>
      <c r="O40">
        <f t="shared" ca="1" si="3"/>
        <v>-4.820682517253129E-4</v>
      </c>
      <c r="Q40" s="1">
        <f t="shared" si="4"/>
        <v>14412.998</v>
      </c>
    </row>
    <row r="41" spans="1:17" x14ac:dyDescent="0.2">
      <c r="A41" s="20" t="s">
        <v>66</v>
      </c>
      <c r="B41" s="22" t="s">
        <v>48</v>
      </c>
      <c r="C41" s="21">
        <v>29462.281999999999</v>
      </c>
      <c r="D41" s="3"/>
      <c r="E41">
        <f t="shared" si="0"/>
        <v>-10852.992064153785</v>
      </c>
      <c r="F41">
        <f t="shared" si="1"/>
        <v>-10853</v>
      </c>
      <c r="G41">
        <f t="shared" si="2"/>
        <v>1.6846999995323131E-2</v>
      </c>
      <c r="I41">
        <f>+G41</f>
        <v>1.6846999995323131E-2</v>
      </c>
      <c r="O41">
        <f t="shared" ca="1" si="3"/>
        <v>-4.9692003186073419E-4</v>
      </c>
      <c r="Q41" s="1">
        <f t="shared" si="4"/>
        <v>14443.781999999999</v>
      </c>
    </row>
    <row r="42" spans="1:17" x14ac:dyDescent="0.2">
      <c r="A42" s="20" t="s">
        <v>66</v>
      </c>
      <c r="B42" s="22" t="s">
        <v>48</v>
      </c>
      <c r="C42" s="21">
        <v>29464.411</v>
      </c>
      <c r="D42" s="3"/>
      <c r="E42">
        <f t="shared" si="0"/>
        <v>-10851.989190253518</v>
      </c>
      <c r="F42">
        <f t="shared" si="1"/>
        <v>-10852</v>
      </c>
      <c r="G42">
        <f t="shared" si="2"/>
        <v>2.2947999994357815E-2</v>
      </c>
      <c r="I42">
        <f>+G42</f>
        <v>2.2947999994357815E-2</v>
      </c>
      <c r="O42">
        <f t="shared" ca="1" si="3"/>
        <v>-4.9794429255972834E-4</v>
      </c>
      <c r="Q42" s="1">
        <f t="shared" si="4"/>
        <v>14445.911</v>
      </c>
    </row>
    <row r="43" spans="1:17" x14ac:dyDescent="0.2">
      <c r="A43" s="20" t="s">
        <v>66</v>
      </c>
      <c r="B43" s="22" t="s">
        <v>48</v>
      </c>
      <c r="C43" s="21">
        <v>29465.434000000001</v>
      </c>
      <c r="D43" s="3"/>
      <c r="E43">
        <f t="shared" si="0"/>
        <v>-10851.507302043105</v>
      </c>
      <c r="F43">
        <f t="shared" si="1"/>
        <v>-10851.5</v>
      </c>
      <c r="G43">
        <f t="shared" si="2"/>
        <v>-1.5501500005484559E-2</v>
      </c>
      <c r="I43">
        <f>+G43</f>
        <v>-1.5501500005484559E-2</v>
      </c>
      <c r="O43">
        <f t="shared" ca="1" si="3"/>
        <v>-4.9845642290922629E-4</v>
      </c>
      <c r="Q43" s="1">
        <f t="shared" si="4"/>
        <v>14446.934000000001</v>
      </c>
    </row>
    <row r="44" spans="1:17" x14ac:dyDescent="0.2">
      <c r="A44" s="20" t="s">
        <v>66</v>
      </c>
      <c r="B44" s="22" t="s">
        <v>48</v>
      </c>
      <c r="C44" s="21">
        <v>29465.455999999998</v>
      </c>
      <c r="D44" s="3"/>
      <c r="E44">
        <f t="shared" si="0"/>
        <v>-10851.496938855784</v>
      </c>
      <c r="F44">
        <f t="shared" si="1"/>
        <v>-10851.5</v>
      </c>
      <c r="G44">
        <f t="shared" si="2"/>
        <v>6.4984999917214736E-3</v>
      </c>
      <c r="I44">
        <f>+G44</f>
        <v>6.4984999917214736E-3</v>
      </c>
      <c r="O44">
        <f t="shared" ca="1" si="3"/>
        <v>-4.9845642290922629E-4</v>
      </c>
      <c r="Q44" s="1">
        <f t="shared" si="4"/>
        <v>14446.955999999998</v>
      </c>
    </row>
    <row r="45" spans="1:17" x14ac:dyDescent="0.2">
      <c r="A45" s="20" t="s">
        <v>66</v>
      </c>
      <c r="B45" s="22" t="s">
        <v>48</v>
      </c>
      <c r="C45" s="21">
        <v>29479.232</v>
      </c>
      <c r="D45" s="3"/>
      <c r="E45">
        <f t="shared" si="0"/>
        <v>-10845.007699377127</v>
      </c>
      <c r="F45">
        <f t="shared" si="1"/>
        <v>-10845</v>
      </c>
      <c r="G45">
        <f t="shared" si="2"/>
        <v>-1.6345000003639143E-2</v>
      </c>
      <c r="I45">
        <f>+G45</f>
        <v>-1.6345000003639143E-2</v>
      </c>
      <c r="O45">
        <f t="shared" ca="1" si="3"/>
        <v>-5.0511411745269089E-4</v>
      </c>
      <c r="Q45" s="1">
        <f t="shared" si="4"/>
        <v>14460.732</v>
      </c>
    </row>
    <row r="46" spans="1:17" x14ac:dyDescent="0.2">
      <c r="A46" s="20" t="s">
        <v>66</v>
      </c>
      <c r="B46" s="22" t="s">
        <v>48</v>
      </c>
      <c r="C46" s="21">
        <v>29479.256000000001</v>
      </c>
      <c r="D46" s="3"/>
      <c r="E46">
        <f t="shared" si="0"/>
        <v>-10844.996394081869</v>
      </c>
      <c r="F46">
        <f t="shared" si="1"/>
        <v>-10845</v>
      </c>
      <c r="G46">
        <f t="shared" si="2"/>
        <v>7.6549999976123217E-3</v>
      </c>
      <c r="I46">
        <f>+G46</f>
        <v>7.6549999976123217E-3</v>
      </c>
      <c r="O46">
        <f t="shared" ca="1" si="3"/>
        <v>-5.0511411745269089E-4</v>
      </c>
      <c r="Q46" s="1">
        <f t="shared" si="4"/>
        <v>14460.756000000001</v>
      </c>
    </row>
    <row r="47" spans="1:17" x14ac:dyDescent="0.2">
      <c r="A47" s="20" t="s">
        <v>66</v>
      </c>
      <c r="B47" s="22" t="s">
        <v>48</v>
      </c>
      <c r="C47" s="21">
        <v>29480.309000000001</v>
      </c>
      <c r="D47" s="3"/>
      <c r="E47">
        <f t="shared" si="0"/>
        <v>-10844.50037425238</v>
      </c>
      <c r="F47">
        <f t="shared" si="1"/>
        <v>-10844.5</v>
      </c>
      <c r="G47">
        <f t="shared" si="2"/>
        <v>-7.9450000339420512E-4</v>
      </c>
      <c r="I47">
        <f>+G47</f>
        <v>-7.9450000339420512E-4</v>
      </c>
      <c r="O47">
        <f t="shared" ca="1" si="3"/>
        <v>-5.0562624780218883E-4</v>
      </c>
      <c r="Q47" s="1">
        <f t="shared" si="4"/>
        <v>14461.809000000001</v>
      </c>
    </row>
    <row r="48" spans="1:17" x14ac:dyDescent="0.2">
      <c r="A48" s="20" t="s">
        <v>66</v>
      </c>
      <c r="B48" s="22" t="s">
        <v>48</v>
      </c>
      <c r="C48" s="21">
        <v>29481.363000000001</v>
      </c>
      <c r="D48" s="3"/>
      <c r="E48">
        <f t="shared" si="0"/>
        <v>-10844.003883368923</v>
      </c>
      <c r="F48">
        <f t="shared" si="1"/>
        <v>-10844</v>
      </c>
      <c r="G48">
        <f t="shared" si="2"/>
        <v>-8.2440000041970052E-3</v>
      </c>
      <c r="I48">
        <f>+G48</f>
        <v>-8.2440000041970052E-3</v>
      </c>
      <c r="O48">
        <f t="shared" ca="1" si="3"/>
        <v>-5.0613837815168504E-4</v>
      </c>
      <c r="Q48" s="1">
        <f t="shared" si="4"/>
        <v>14462.863000000001</v>
      </c>
    </row>
    <row r="49" spans="1:19" x14ac:dyDescent="0.2">
      <c r="A49" s="20" t="s">
        <v>66</v>
      </c>
      <c r="B49" s="22" t="s">
        <v>48</v>
      </c>
      <c r="C49" s="21">
        <v>29514.293000000001</v>
      </c>
      <c r="D49" s="3"/>
      <c r="E49">
        <f t="shared" si="0"/>
        <v>-10828.492076165659</v>
      </c>
      <c r="F49">
        <f t="shared" si="1"/>
        <v>-10828.5</v>
      </c>
      <c r="G49">
        <f t="shared" si="2"/>
        <v>1.6821499997604406E-2</v>
      </c>
      <c r="I49">
        <f>+G49</f>
        <v>1.6821499997604406E-2</v>
      </c>
      <c r="O49">
        <f t="shared" ca="1" si="3"/>
        <v>-5.2201441898610222E-4</v>
      </c>
      <c r="Q49" s="1">
        <f t="shared" si="4"/>
        <v>14495.793000000001</v>
      </c>
    </row>
    <row r="50" spans="1:19" x14ac:dyDescent="0.2">
      <c r="A50" s="20" t="s">
        <v>66</v>
      </c>
      <c r="B50" s="22" t="s">
        <v>48</v>
      </c>
      <c r="C50" s="21">
        <v>29549.258000000002</v>
      </c>
      <c r="D50" s="3"/>
      <c r="E50">
        <f t="shared" si="0"/>
        <v>-10812.021674135229</v>
      </c>
      <c r="F50">
        <f t="shared" si="1"/>
        <v>-10812</v>
      </c>
      <c r="G50">
        <f t="shared" si="2"/>
        <v>-4.6012000002519926E-2</v>
      </c>
      <c r="I50">
        <f>+G50</f>
        <v>-4.6012000002519926E-2</v>
      </c>
      <c r="O50">
        <f t="shared" ca="1" si="3"/>
        <v>-5.3891472051951356E-4</v>
      </c>
      <c r="Q50" s="1">
        <f t="shared" si="4"/>
        <v>14530.758000000002</v>
      </c>
    </row>
    <row r="51" spans="1:19" x14ac:dyDescent="0.2">
      <c r="A51" s="20" t="s">
        <v>66</v>
      </c>
      <c r="B51" s="22" t="s">
        <v>48</v>
      </c>
      <c r="C51" s="21">
        <v>29549.280999999999</v>
      </c>
      <c r="D51" s="3"/>
      <c r="E51">
        <f t="shared" si="0"/>
        <v>-10812.010839893941</v>
      </c>
      <c r="F51">
        <f t="shared" si="1"/>
        <v>-10812</v>
      </c>
      <c r="G51">
        <f t="shared" si="2"/>
        <v>-2.3012000005110167E-2</v>
      </c>
      <c r="I51">
        <f>+G51</f>
        <v>-2.3012000005110167E-2</v>
      </c>
      <c r="O51">
        <f t="shared" ca="1" si="3"/>
        <v>-5.3891472051951356E-4</v>
      </c>
      <c r="Q51" s="1">
        <f t="shared" si="4"/>
        <v>14530.780999999999</v>
      </c>
    </row>
    <row r="52" spans="1:19" x14ac:dyDescent="0.2">
      <c r="A52">
        <f>D38</f>
        <v>0</v>
      </c>
      <c r="C52" s="3">
        <f>C$7</f>
        <v>52502.088000000003</v>
      </c>
      <c r="D52" s="3" t="s">
        <v>13</v>
      </c>
      <c r="E52">
        <f t="shared" si="0"/>
        <v>0</v>
      </c>
      <c r="F52">
        <f t="shared" si="1"/>
        <v>0</v>
      </c>
      <c r="G52">
        <f t="shared" si="2"/>
        <v>0</v>
      </c>
      <c r="H52">
        <f>+G52</f>
        <v>0</v>
      </c>
      <c r="O52">
        <f t="shared" ca="1" si="3"/>
        <v>-1.1613221398049225E-2</v>
      </c>
      <c r="Q52" s="1">
        <f t="shared" si="4"/>
        <v>37483.588000000003</v>
      </c>
      <c r="S52">
        <f ca="1">+(O52-G52)^2</f>
        <v>1.3486691124010841E-4</v>
      </c>
    </row>
    <row r="53" spans="1:19" x14ac:dyDescent="0.2">
      <c r="A53" s="5" t="s">
        <v>47</v>
      </c>
      <c r="B53" s="6" t="s">
        <v>48</v>
      </c>
      <c r="C53" s="7">
        <v>55798.93116</v>
      </c>
      <c r="D53" s="7">
        <v>1.2999999999999999E-4</v>
      </c>
      <c r="E53">
        <f t="shared" si="0"/>
        <v>1552.9910560982869</v>
      </c>
      <c r="F53">
        <f t="shared" si="1"/>
        <v>1553</v>
      </c>
      <c r="G53">
        <f t="shared" si="2"/>
        <v>-1.8987000003107823E-2</v>
      </c>
      <c r="K53">
        <f>+G53</f>
        <v>-1.8987000003107823E-2</v>
      </c>
      <c r="O53">
        <f t="shared" ca="1" si="3"/>
        <v>-1.3203898263587853E-2</v>
      </c>
      <c r="Q53" s="1">
        <f t="shared" si="4"/>
        <v>40780.43116</v>
      </c>
      <c r="S53">
        <f ca="1">+(O53-G53)^2</f>
        <v>3.3444265729638902E-5</v>
      </c>
    </row>
    <row r="54" spans="1:19" x14ac:dyDescent="0.2">
      <c r="B54" s="2"/>
      <c r="C54" s="3"/>
      <c r="D54" s="3"/>
    </row>
    <row r="55" spans="1:19" x14ac:dyDescent="0.2">
      <c r="B55" s="2"/>
      <c r="C55" s="3"/>
      <c r="D55" s="3"/>
    </row>
    <row r="56" spans="1:19" x14ac:dyDescent="0.2">
      <c r="B56" s="2"/>
      <c r="C56" s="3"/>
      <c r="D56" s="3"/>
    </row>
    <row r="57" spans="1:19" x14ac:dyDescent="0.2">
      <c r="B57" s="2"/>
      <c r="C57" s="3"/>
      <c r="D57" s="3"/>
    </row>
    <row r="58" spans="1:19" x14ac:dyDescent="0.2">
      <c r="B58" s="2"/>
      <c r="C58" s="3"/>
      <c r="D58" s="3"/>
    </row>
    <row r="59" spans="1:19" x14ac:dyDescent="0.2">
      <c r="B59" s="2"/>
      <c r="C59" s="3"/>
      <c r="D59" s="3"/>
    </row>
    <row r="60" spans="1:19" x14ac:dyDescent="0.2">
      <c r="B60" s="2"/>
      <c r="C60" s="3"/>
      <c r="D60" s="3"/>
    </row>
    <row r="61" spans="1:19" x14ac:dyDescent="0.2">
      <c r="B61" s="2"/>
      <c r="C61" s="3"/>
      <c r="D61" s="3"/>
    </row>
    <row r="62" spans="1:19" x14ac:dyDescent="0.2">
      <c r="B62" s="2"/>
      <c r="C62" s="3"/>
      <c r="D62" s="3"/>
    </row>
    <row r="63" spans="1:19" x14ac:dyDescent="0.2">
      <c r="B63" s="2"/>
      <c r="C63" s="3"/>
      <c r="D63" s="3"/>
    </row>
    <row r="64" spans="1:19" x14ac:dyDescent="0.2">
      <c r="B64" s="2"/>
      <c r="C64" s="3"/>
      <c r="D64" s="3"/>
    </row>
    <row r="65" spans="2:4" x14ac:dyDescent="0.2">
      <c r="B65" s="2"/>
      <c r="C65" s="3"/>
      <c r="D65" s="3"/>
    </row>
    <row r="66" spans="2:4" x14ac:dyDescent="0.2">
      <c r="B66" s="2"/>
      <c r="C66" s="3"/>
      <c r="D66" s="3"/>
    </row>
    <row r="67" spans="2:4" x14ac:dyDescent="0.2">
      <c r="B67" s="2"/>
      <c r="C67" s="3"/>
      <c r="D67" s="3"/>
    </row>
    <row r="68" spans="2:4" x14ac:dyDescent="0.2">
      <c r="B68" s="2"/>
      <c r="C68" s="3"/>
      <c r="D68" s="3"/>
    </row>
    <row r="69" spans="2:4" x14ac:dyDescent="0.2">
      <c r="B69" s="2"/>
      <c r="C69" s="3"/>
      <c r="D69" s="3"/>
    </row>
    <row r="70" spans="2:4" x14ac:dyDescent="0.2">
      <c r="B70" s="2"/>
      <c r="C70" s="3"/>
      <c r="D70" s="3"/>
    </row>
    <row r="71" spans="2:4" x14ac:dyDescent="0.2">
      <c r="C71" s="3"/>
      <c r="D71" s="3"/>
    </row>
    <row r="72" spans="2:4" x14ac:dyDescent="0.2">
      <c r="C72" s="3"/>
      <c r="D72" s="3"/>
    </row>
    <row r="73" spans="2:4" x14ac:dyDescent="0.2">
      <c r="C73" s="3"/>
      <c r="D73" s="3"/>
    </row>
    <row r="74" spans="2:4" x14ac:dyDescent="0.2">
      <c r="C74" s="3"/>
      <c r="D74" s="3"/>
    </row>
    <row r="75" spans="2:4" x14ac:dyDescent="0.2">
      <c r="C75" s="3"/>
      <c r="D75" s="3"/>
    </row>
    <row r="76" spans="2:4" x14ac:dyDescent="0.2">
      <c r="C76" s="3"/>
      <c r="D76" s="3"/>
    </row>
    <row r="77" spans="2:4" x14ac:dyDescent="0.2">
      <c r="C77" s="3"/>
      <c r="D77" s="3"/>
    </row>
    <row r="78" spans="2:4" x14ac:dyDescent="0.2">
      <c r="C78" s="3"/>
      <c r="D78" s="3"/>
    </row>
    <row r="79" spans="2:4" x14ac:dyDescent="0.2">
      <c r="C79" s="3"/>
      <c r="D79" s="3"/>
    </row>
    <row r="80" spans="2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6"/>
  <sheetViews>
    <sheetView workbookViewId="0">
      <selection activeCell="A11" sqref="A11:C41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49</v>
      </c>
      <c r="I1" s="9" t="s">
        <v>50</v>
      </c>
      <c r="J1" s="10" t="s">
        <v>51</v>
      </c>
    </row>
    <row r="2" spans="1:16" x14ac:dyDescent="0.2">
      <c r="I2" s="11" t="s">
        <v>52</v>
      </c>
      <c r="J2" s="12" t="s">
        <v>53</v>
      </c>
    </row>
    <row r="3" spans="1:16" x14ac:dyDescent="0.2">
      <c r="A3" s="13" t="s">
        <v>54</v>
      </c>
      <c r="I3" s="11" t="s">
        <v>55</v>
      </c>
      <c r="J3" s="12" t="s">
        <v>56</v>
      </c>
    </row>
    <row r="4" spans="1:16" x14ac:dyDescent="0.2">
      <c r="I4" s="11" t="s">
        <v>57</v>
      </c>
      <c r="J4" s="12" t="s">
        <v>56</v>
      </c>
    </row>
    <row r="5" spans="1:16" ht="13.5" thickBot="1" x14ac:dyDescent="0.25">
      <c r="I5" s="14" t="s">
        <v>58</v>
      </c>
      <c r="J5" s="15" t="s">
        <v>59</v>
      </c>
    </row>
    <row r="10" spans="1:16" ht="13.5" thickBot="1" x14ac:dyDescent="0.25"/>
    <row r="11" spans="1:16" ht="12.75" customHeight="1" thickBot="1" x14ac:dyDescent="0.25">
      <c r="A11" s="3" t="str">
        <f t="shared" ref="A11:A41" si="0">P11</f>
        <v> AOLD 21.438 </v>
      </c>
      <c r="B11" s="2" t="str">
        <f t="shared" ref="B11:B41" si="1">IF(H11=INT(H11),"I","II")</f>
        <v>I</v>
      </c>
      <c r="C11" s="3">
        <f t="shared" ref="C11:C41" si="2">1*G11</f>
        <v>27901.964</v>
      </c>
      <c r="D11" s="4" t="str">
        <f t="shared" ref="D11:D41" si="3">VLOOKUP(F11,I$1:J$5,2,FALSE)</f>
        <v>vis</v>
      </c>
      <c r="E11" s="16">
        <f>VLOOKUP(C11,Active!C$21:E$973,3,FALSE)</f>
        <v>-11587.986051149868</v>
      </c>
      <c r="F11" s="2" t="s">
        <v>58</v>
      </c>
      <c r="G11" s="4" t="str">
        <f t="shared" ref="G11:G41" si="4">MID(I11,3,LEN(I11)-3)</f>
        <v>27901.964</v>
      </c>
      <c r="H11" s="3">
        <f t="shared" ref="H11:H41" si="5">1*K11</f>
        <v>-804</v>
      </c>
      <c r="I11" s="17" t="s">
        <v>61</v>
      </c>
      <c r="J11" s="18" t="s">
        <v>62</v>
      </c>
      <c r="K11" s="17">
        <v>-804</v>
      </c>
      <c r="L11" s="17" t="s">
        <v>63</v>
      </c>
      <c r="M11" s="18" t="s">
        <v>64</v>
      </c>
      <c r="N11" s="18"/>
      <c r="O11" s="19" t="s">
        <v>65</v>
      </c>
      <c r="P11" s="19" t="s">
        <v>66</v>
      </c>
    </row>
    <row r="12" spans="1:16" ht="12.75" customHeight="1" thickBot="1" x14ac:dyDescent="0.25">
      <c r="A12" s="3" t="str">
        <f t="shared" si="0"/>
        <v> AOLD 21.438 </v>
      </c>
      <c r="B12" s="2" t="str">
        <f t="shared" si="1"/>
        <v>I</v>
      </c>
      <c r="C12" s="3">
        <f t="shared" si="2"/>
        <v>27901.995999999999</v>
      </c>
      <c r="D12" s="4" t="str">
        <f t="shared" si="3"/>
        <v>vis</v>
      </c>
      <c r="E12" s="16">
        <f>VLOOKUP(C12,Active!C$21:E$973,3,FALSE)</f>
        <v>-11587.970977422858</v>
      </c>
      <c r="F12" s="2" t="s">
        <v>58</v>
      </c>
      <c r="G12" s="4" t="str">
        <f t="shared" si="4"/>
        <v>27901.996</v>
      </c>
      <c r="H12" s="3">
        <f t="shared" si="5"/>
        <v>-804</v>
      </c>
      <c r="I12" s="17" t="s">
        <v>67</v>
      </c>
      <c r="J12" s="18" t="s">
        <v>68</v>
      </c>
      <c r="K12" s="17">
        <v>-804</v>
      </c>
      <c r="L12" s="17" t="s">
        <v>69</v>
      </c>
      <c r="M12" s="18" t="s">
        <v>64</v>
      </c>
      <c r="N12" s="18"/>
      <c r="O12" s="19" t="s">
        <v>65</v>
      </c>
      <c r="P12" s="19" t="s">
        <v>66</v>
      </c>
    </row>
    <row r="13" spans="1:16" ht="12.75" customHeight="1" thickBot="1" x14ac:dyDescent="0.25">
      <c r="A13" s="3" t="str">
        <f t="shared" si="0"/>
        <v> AOLD 21.438 </v>
      </c>
      <c r="B13" s="2" t="str">
        <f t="shared" si="1"/>
        <v>I</v>
      </c>
      <c r="C13" s="3">
        <f t="shared" si="2"/>
        <v>27902.975999999999</v>
      </c>
      <c r="D13" s="4" t="str">
        <f t="shared" si="3"/>
        <v>vis</v>
      </c>
      <c r="E13" s="16">
        <f>VLOOKUP(C13,Active!C$21:E$973,3,FALSE)</f>
        <v>-11587.509344533115</v>
      </c>
      <c r="F13" s="2" t="s">
        <v>58</v>
      </c>
      <c r="G13" s="4" t="str">
        <f t="shared" si="4"/>
        <v>27902.976</v>
      </c>
      <c r="H13" s="3">
        <f t="shared" si="5"/>
        <v>-803</v>
      </c>
      <c r="I13" s="17" t="s">
        <v>70</v>
      </c>
      <c r="J13" s="18" t="s">
        <v>71</v>
      </c>
      <c r="K13" s="17">
        <v>-803</v>
      </c>
      <c r="L13" s="17" t="s">
        <v>72</v>
      </c>
      <c r="M13" s="18" t="s">
        <v>64</v>
      </c>
      <c r="N13" s="18"/>
      <c r="O13" s="19" t="s">
        <v>65</v>
      </c>
      <c r="P13" s="19" t="s">
        <v>66</v>
      </c>
    </row>
    <row r="14" spans="1:16" ht="12.75" customHeight="1" thickBot="1" x14ac:dyDescent="0.25">
      <c r="A14" s="3" t="str">
        <f t="shared" si="0"/>
        <v> AOLD 21.438 </v>
      </c>
      <c r="B14" s="2" t="str">
        <f t="shared" si="1"/>
        <v>I</v>
      </c>
      <c r="C14" s="3">
        <f t="shared" si="2"/>
        <v>27953.915000000001</v>
      </c>
      <c r="D14" s="4" t="str">
        <f t="shared" si="3"/>
        <v>vis</v>
      </c>
      <c r="E14" s="16">
        <f>VLOOKUP(C14,Active!C$21:E$973,3,FALSE)</f>
        <v>-11563.514326399893</v>
      </c>
      <c r="F14" s="2" t="s">
        <v>58</v>
      </c>
      <c r="G14" s="4" t="str">
        <f t="shared" si="4"/>
        <v>27953.915</v>
      </c>
      <c r="H14" s="3">
        <f t="shared" si="5"/>
        <v>-755</v>
      </c>
      <c r="I14" s="17" t="s">
        <v>73</v>
      </c>
      <c r="J14" s="18" t="s">
        <v>74</v>
      </c>
      <c r="K14" s="17">
        <v>-755</v>
      </c>
      <c r="L14" s="17" t="s">
        <v>75</v>
      </c>
      <c r="M14" s="18" t="s">
        <v>64</v>
      </c>
      <c r="N14" s="18"/>
      <c r="O14" s="19" t="s">
        <v>65</v>
      </c>
      <c r="P14" s="19" t="s">
        <v>66</v>
      </c>
    </row>
    <row r="15" spans="1:16" ht="12.75" customHeight="1" thickBot="1" x14ac:dyDescent="0.25">
      <c r="A15" s="3" t="str">
        <f t="shared" si="0"/>
        <v> AOLD 21.438 </v>
      </c>
      <c r="B15" s="2" t="str">
        <f t="shared" si="1"/>
        <v>I</v>
      </c>
      <c r="C15" s="3">
        <f t="shared" si="2"/>
        <v>27953.940999999999</v>
      </c>
      <c r="D15" s="4" t="str">
        <f t="shared" si="3"/>
        <v>vis</v>
      </c>
      <c r="E15" s="16">
        <f>VLOOKUP(C15,Active!C$21:E$973,3,FALSE)</f>
        <v>-11563.502078996695</v>
      </c>
      <c r="F15" s="2" t="s">
        <v>58</v>
      </c>
      <c r="G15" s="4" t="str">
        <f t="shared" si="4"/>
        <v>27953.941</v>
      </c>
      <c r="H15" s="3">
        <f t="shared" si="5"/>
        <v>-755</v>
      </c>
      <c r="I15" s="17" t="s">
        <v>76</v>
      </c>
      <c r="J15" s="18" t="s">
        <v>77</v>
      </c>
      <c r="K15" s="17">
        <v>-755</v>
      </c>
      <c r="L15" s="17" t="s">
        <v>78</v>
      </c>
      <c r="M15" s="18" t="s">
        <v>64</v>
      </c>
      <c r="N15" s="18"/>
      <c r="O15" s="19" t="s">
        <v>65</v>
      </c>
      <c r="P15" s="19" t="s">
        <v>66</v>
      </c>
    </row>
    <row r="16" spans="1:16" ht="12.75" customHeight="1" thickBot="1" x14ac:dyDescent="0.25">
      <c r="A16" s="3" t="str">
        <f t="shared" si="0"/>
        <v> AOLD 21.438 </v>
      </c>
      <c r="B16" s="2" t="str">
        <f t="shared" si="1"/>
        <v>I</v>
      </c>
      <c r="C16" s="3">
        <f t="shared" si="2"/>
        <v>27983.7</v>
      </c>
      <c r="D16" s="4" t="str">
        <f t="shared" si="3"/>
        <v>vis</v>
      </c>
      <c r="E16" s="16">
        <f>VLOOKUP(C16,Active!C$21:E$973,3,FALSE)</f>
        <v>-11549.483983929525</v>
      </c>
      <c r="F16" s="2" t="s">
        <v>58</v>
      </c>
      <c r="G16" s="4" t="str">
        <f t="shared" si="4"/>
        <v>27983.700</v>
      </c>
      <c r="H16" s="3">
        <f t="shared" si="5"/>
        <v>-727</v>
      </c>
      <c r="I16" s="17" t="s">
        <v>79</v>
      </c>
      <c r="J16" s="18" t="s">
        <v>80</v>
      </c>
      <c r="K16" s="17">
        <v>-727</v>
      </c>
      <c r="L16" s="17" t="s">
        <v>81</v>
      </c>
      <c r="M16" s="18" t="s">
        <v>64</v>
      </c>
      <c r="N16" s="18"/>
      <c r="O16" s="19" t="s">
        <v>65</v>
      </c>
      <c r="P16" s="19" t="s">
        <v>66</v>
      </c>
    </row>
    <row r="17" spans="1:16" ht="12.75" customHeight="1" thickBot="1" x14ac:dyDescent="0.25">
      <c r="A17" s="3" t="str">
        <f t="shared" si="0"/>
        <v> AOLD 21.438 </v>
      </c>
      <c r="B17" s="2" t="str">
        <f t="shared" si="1"/>
        <v>I</v>
      </c>
      <c r="C17" s="3">
        <f t="shared" si="2"/>
        <v>27984.697</v>
      </c>
      <c r="D17" s="4" t="str">
        <f t="shared" si="3"/>
        <v>vis</v>
      </c>
      <c r="E17" s="16">
        <f>VLOOKUP(C17,Active!C$21:E$973,3,FALSE)</f>
        <v>-11549.014343122308</v>
      </c>
      <c r="F17" s="2" t="s">
        <v>58</v>
      </c>
      <c r="G17" s="4" t="str">
        <f t="shared" si="4"/>
        <v>27984.697</v>
      </c>
      <c r="H17" s="3">
        <f t="shared" si="5"/>
        <v>-726</v>
      </c>
      <c r="I17" s="17" t="s">
        <v>82</v>
      </c>
      <c r="J17" s="18" t="s">
        <v>83</v>
      </c>
      <c r="K17" s="17">
        <v>-726</v>
      </c>
      <c r="L17" s="17" t="s">
        <v>75</v>
      </c>
      <c r="M17" s="18" t="s">
        <v>64</v>
      </c>
      <c r="N17" s="18"/>
      <c r="O17" s="19" t="s">
        <v>65</v>
      </c>
      <c r="P17" s="19" t="s">
        <v>66</v>
      </c>
    </row>
    <row r="18" spans="1:16" ht="12.75" customHeight="1" thickBot="1" x14ac:dyDescent="0.25">
      <c r="A18" s="3" t="str">
        <f t="shared" si="0"/>
        <v> AOLD 21.438 </v>
      </c>
      <c r="B18" s="2" t="str">
        <f t="shared" si="1"/>
        <v>I</v>
      </c>
      <c r="C18" s="3">
        <f t="shared" si="2"/>
        <v>27984.703000000001</v>
      </c>
      <c r="D18" s="4" t="str">
        <f t="shared" si="3"/>
        <v>vis</v>
      </c>
      <c r="E18" s="16">
        <f>VLOOKUP(C18,Active!C$21:E$973,3,FALSE)</f>
        <v>-11549.011516798493</v>
      </c>
      <c r="F18" s="2" t="s">
        <v>58</v>
      </c>
      <c r="G18" s="4" t="str">
        <f t="shared" si="4"/>
        <v>27984.703</v>
      </c>
      <c r="H18" s="3">
        <f t="shared" si="5"/>
        <v>-726</v>
      </c>
      <c r="I18" s="17" t="s">
        <v>84</v>
      </c>
      <c r="J18" s="18" t="s">
        <v>85</v>
      </c>
      <c r="K18" s="17">
        <v>-726</v>
      </c>
      <c r="L18" s="17" t="s">
        <v>86</v>
      </c>
      <c r="M18" s="18" t="s">
        <v>64</v>
      </c>
      <c r="N18" s="18"/>
      <c r="O18" s="19" t="s">
        <v>65</v>
      </c>
      <c r="P18" s="19" t="s">
        <v>66</v>
      </c>
    </row>
    <row r="19" spans="1:16" ht="12.75" customHeight="1" thickBot="1" x14ac:dyDescent="0.25">
      <c r="A19" s="3" t="str">
        <f t="shared" si="0"/>
        <v> AOLD 21.438 </v>
      </c>
      <c r="B19" s="2" t="str">
        <f t="shared" si="1"/>
        <v>I</v>
      </c>
      <c r="C19" s="3">
        <f t="shared" si="2"/>
        <v>27984.746999999999</v>
      </c>
      <c r="D19" s="4" t="str">
        <f t="shared" si="3"/>
        <v>vis</v>
      </c>
      <c r="E19" s="16">
        <f>VLOOKUP(C19,Active!C$21:E$973,3,FALSE)</f>
        <v>-11548.990790423852</v>
      </c>
      <c r="F19" s="2" t="s">
        <v>58</v>
      </c>
      <c r="G19" s="4" t="str">
        <f t="shared" si="4"/>
        <v>27984.747</v>
      </c>
      <c r="H19" s="3">
        <f t="shared" si="5"/>
        <v>-726</v>
      </c>
      <c r="I19" s="17" t="s">
        <v>87</v>
      </c>
      <c r="J19" s="18" t="s">
        <v>88</v>
      </c>
      <c r="K19" s="17">
        <v>-726</v>
      </c>
      <c r="L19" s="17" t="s">
        <v>89</v>
      </c>
      <c r="M19" s="18" t="s">
        <v>64</v>
      </c>
      <c r="N19" s="18"/>
      <c r="O19" s="19" t="s">
        <v>65</v>
      </c>
      <c r="P19" s="19" t="s">
        <v>66</v>
      </c>
    </row>
    <row r="20" spans="1:16" ht="12.75" customHeight="1" thickBot="1" x14ac:dyDescent="0.25">
      <c r="A20" s="3" t="str">
        <f t="shared" si="0"/>
        <v> AOLD 21.438 </v>
      </c>
      <c r="B20" s="2" t="str">
        <f t="shared" si="1"/>
        <v>I</v>
      </c>
      <c r="C20" s="3">
        <f t="shared" si="2"/>
        <v>27984.774000000001</v>
      </c>
      <c r="D20" s="4" t="str">
        <f t="shared" si="3"/>
        <v>vis</v>
      </c>
      <c r="E20" s="16">
        <f>VLOOKUP(C20,Active!C$21:E$973,3,FALSE)</f>
        <v>-11548.978071966685</v>
      </c>
      <c r="F20" s="2" t="s">
        <v>58</v>
      </c>
      <c r="G20" s="4" t="str">
        <f t="shared" si="4"/>
        <v>27984.774</v>
      </c>
      <c r="H20" s="3">
        <f t="shared" si="5"/>
        <v>-726</v>
      </c>
      <c r="I20" s="17" t="s">
        <v>90</v>
      </c>
      <c r="J20" s="18" t="s">
        <v>91</v>
      </c>
      <c r="K20" s="17">
        <v>-726</v>
      </c>
      <c r="L20" s="17" t="s">
        <v>92</v>
      </c>
      <c r="M20" s="18" t="s">
        <v>64</v>
      </c>
      <c r="N20" s="18"/>
      <c r="O20" s="19" t="s">
        <v>65</v>
      </c>
      <c r="P20" s="19" t="s">
        <v>66</v>
      </c>
    </row>
    <row r="21" spans="1:16" ht="12.75" customHeight="1" thickBot="1" x14ac:dyDescent="0.25">
      <c r="A21" s="3" t="str">
        <f t="shared" si="0"/>
        <v> AOLD 21.438 </v>
      </c>
      <c r="B21" s="2" t="str">
        <f t="shared" si="1"/>
        <v>I</v>
      </c>
      <c r="C21" s="3">
        <f t="shared" si="2"/>
        <v>28069.641</v>
      </c>
      <c r="D21" s="4" t="str">
        <f t="shared" si="3"/>
        <v>vis</v>
      </c>
      <c r="E21" s="16">
        <f>VLOOKUP(C21,Active!C$21:E$973,3,FALSE)</f>
        <v>-11509.001134769014</v>
      </c>
      <c r="F21" s="2" t="s">
        <v>58</v>
      </c>
      <c r="G21" s="4" t="str">
        <f t="shared" si="4"/>
        <v>28069.641</v>
      </c>
      <c r="H21" s="3">
        <f t="shared" si="5"/>
        <v>-646</v>
      </c>
      <c r="I21" s="17" t="s">
        <v>93</v>
      </c>
      <c r="J21" s="18" t="s">
        <v>94</v>
      </c>
      <c r="K21" s="17">
        <v>-646</v>
      </c>
      <c r="L21" s="17" t="s">
        <v>95</v>
      </c>
      <c r="M21" s="18" t="s">
        <v>64</v>
      </c>
      <c r="N21" s="18"/>
      <c r="O21" s="19" t="s">
        <v>65</v>
      </c>
      <c r="P21" s="19" t="s">
        <v>66</v>
      </c>
    </row>
    <row r="22" spans="1:16" ht="12.75" customHeight="1" thickBot="1" x14ac:dyDescent="0.25">
      <c r="A22" s="3" t="str">
        <f t="shared" si="0"/>
        <v> AOLD 21.438 </v>
      </c>
      <c r="B22" s="2" t="str">
        <f t="shared" si="1"/>
        <v>I</v>
      </c>
      <c r="C22" s="3">
        <f t="shared" si="2"/>
        <v>28755.355</v>
      </c>
      <c r="D22" s="4" t="str">
        <f t="shared" si="3"/>
        <v>vis</v>
      </c>
      <c r="E22" s="16">
        <f>VLOOKUP(C22,Active!C$21:E$973,3,FALSE)</f>
        <v>-11185.992833384917</v>
      </c>
      <c r="F22" s="2" t="s">
        <v>58</v>
      </c>
      <c r="G22" s="4" t="str">
        <f t="shared" si="4"/>
        <v>28755.355</v>
      </c>
      <c r="H22" s="3">
        <f t="shared" si="5"/>
        <v>0</v>
      </c>
      <c r="I22" s="17" t="s">
        <v>96</v>
      </c>
      <c r="J22" s="18" t="s">
        <v>97</v>
      </c>
      <c r="K22" s="17">
        <v>0</v>
      </c>
      <c r="L22" s="17" t="s">
        <v>98</v>
      </c>
      <c r="M22" s="18" t="s">
        <v>64</v>
      </c>
      <c r="N22" s="18"/>
      <c r="O22" s="19" t="s">
        <v>65</v>
      </c>
      <c r="P22" s="19" t="s">
        <v>66</v>
      </c>
    </row>
    <row r="23" spans="1:16" ht="12.75" customHeight="1" thickBot="1" x14ac:dyDescent="0.25">
      <c r="A23" s="3" t="str">
        <f t="shared" si="0"/>
        <v> AOLD 21.438 </v>
      </c>
      <c r="B23" s="2" t="str">
        <f t="shared" si="1"/>
        <v>I</v>
      </c>
      <c r="C23" s="3">
        <f t="shared" si="2"/>
        <v>29100.303</v>
      </c>
      <c r="D23" s="4" t="str">
        <f t="shared" si="3"/>
        <v>vis</v>
      </c>
      <c r="E23" s="16">
        <f>VLOOKUP(C23,Active!C$21:E$973,3,FALSE)</f>
        <v>-11023.503708843427</v>
      </c>
      <c r="F23" s="2" t="s">
        <v>58</v>
      </c>
      <c r="G23" s="4" t="str">
        <f t="shared" si="4"/>
        <v>29100.303</v>
      </c>
      <c r="H23" s="3">
        <f t="shared" si="5"/>
        <v>325</v>
      </c>
      <c r="I23" s="17" t="s">
        <v>99</v>
      </c>
      <c r="J23" s="18" t="s">
        <v>100</v>
      </c>
      <c r="K23" s="17">
        <v>325</v>
      </c>
      <c r="L23" s="17" t="s">
        <v>101</v>
      </c>
      <c r="M23" s="18" t="s">
        <v>64</v>
      </c>
      <c r="N23" s="18"/>
      <c r="O23" s="19" t="s">
        <v>65</v>
      </c>
      <c r="P23" s="19" t="s">
        <v>66</v>
      </c>
    </row>
    <row r="24" spans="1:16" ht="12.75" customHeight="1" thickBot="1" x14ac:dyDescent="0.25">
      <c r="A24" s="3" t="str">
        <f t="shared" si="0"/>
        <v> AOLD 21.438 </v>
      </c>
      <c r="B24" s="2" t="str">
        <f t="shared" si="1"/>
        <v>I</v>
      </c>
      <c r="C24" s="3">
        <f t="shared" si="2"/>
        <v>29136.362000000001</v>
      </c>
      <c r="D24" s="4" t="str">
        <f t="shared" si="3"/>
        <v>vis</v>
      </c>
      <c r="E24" s="16">
        <f>VLOOKUP(C24,Active!C$21:E$973,3,FALSE)</f>
        <v>-11006.517973770775</v>
      </c>
      <c r="F24" s="2" t="s">
        <v>58</v>
      </c>
      <c r="G24" s="4" t="str">
        <f t="shared" si="4"/>
        <v>29136.362</v>
      </c>
      <c r="H24" s="3">
        <f t="shared" si="5"/>
        <v>359</v>
      </c>
      <c r="I24" s="17" t="s">
        <v>102</v>
      </c>
      <c r="J24" s="18" t="s">
        <v>103</v>
      </c>
      <c r="K24" s="17">
        <v>359</v>
      </c>
      <c r="L24" s="17" t="s">
        <v>104</v>
      </c>
      <c r="M24" s="18" t="s">
        <v>64</v>
      </c>
      <c r="N24" s="18"/>
      <c r="O24" s="19" t="s">
        <v>65</v>
      </c>
      <c r="P24" s="19" t="s">
        <v>66</v>
      </c>
    </row>
    <row r="25" spans="1:16" ht="12.75" customHeight="1" thickBot="1" x14ac:dyDescent="0.25">
      <c r="A25" s="3" t="str">
        <f t="shared" si="0"/>
        <v> AOLD 21.438 </v>
      </c>
      <c r="B25" s="2" t="str">
        <f t="shared" si="1"/>
        <v>I</v>
      </c>
      <c r="C25" s="3">
        <f t="shared" si="2"/>
        <v>29136.383999999998</v>
      </c>
      <c r="D25" s="4" t="str">
        <f t="shared" si="3"/>
        <v>vis</v>
      </c>
      <c r="E25" s="16">
        <f>VLOOKUP(C25,Active!C$21:E$973,3,FALSE)</f>
        <v>-11006.507610583456</v>
      </c>
      <c r="F25" s="2" t="s">
        <v>58</v>
      </c>
      <c r="G25" s="4" t="str">
        <f t="shared" si="4"/>
        <v>29136.384</v>
      </c>
      <c r="H25" s="3">
        <f t="shared" si="5"/>
        <v>359</v>
      </c>
      <c r="I25" s="17" t="s">
        <v>105</v>
      </c>
      <c r="J25" s="18" t="s">
        <v>106</v>
      </c>
      <c r="K25" s="17">
        <v>359</v>
      </c>
      <c r="L25" s="17" t="s">
        <v>107</v>
      </c>
      <c r="M25" s="18" t="s">
        <v>64</v>
      </c>
      <c r="N25" s="18"/>
      <c r="O25" s="19" t="s">
        <v>65</v>
      </c>
      <c r="P25" s="19" t="s">
        <v>66</v>
      </c>
    </row>
    <row r="26" spans="1:16" ht="12.75" customHeight="1" thickBot="1" x14ac:dyDescent="0.25">
      <c r="A26" s="3" t="str">
        <f t="shared" si="0"/>
        <v> AOLD 21.438 </v>
      </c>
      <c r="B26" s="2" t="str">
        <f t="shared" si="1"/>
        <v>I</v>
      </c>
      <c r="C26" s="3">
        <f t="shared" si="2"/>
        <v>29397.54</v>
      </c>
      <c r="D26" s="4" t="str">
        <f t="shared" si="3"/>
        <v>vis</v>
      </c>
      <c r="E26" s="16">
        <f>VLOOKUP(C26,Active!C$21:E$973,3,FALSE)</f>
        <v>-10883.489040222828</v>
      </c>
      <c r="F26" s="2" t="s">
        <v>58</v>
      </c>
      <c r="G26" s="4" t="str">
        <f t="shared" si="4"/>
        <v>29397.540</v>
      </c>
      <c r="H26" s="3">
        <f t="shared" si="5"/>
        <v>605</v>
      </c>
      <c r="I26" s="17" t="s">
        <v>108</v>
      </c>
      <c r="J26" s="18" t="s">
        <v>109</v>
      </c>
      <c r="K26" s="17">
        <v>605</v>
      </c>
      <c r="L26" s="17" t="s">
        <v>81</v>
      </c>
      <c r="M26" s="18" t="s">
        <v>64</v>
      </c>
      <c r="N26" s="18"/>
      <c r="O26" s="19" t="s">
        <v>65</v>
      </c>
      <c r="P26" s="19" t="s">
        <v>66</v>
      </c>
    </row>
    <row r="27" spans="1:16" ht="12.75" customHeight="1" thickBot="1" x14ac:dyDescent="0.25">
      <c r="A27" s="3" t="str">
        <f t="shared" si="0"/>
        <v> AOLD 21.438 </v>
      </c>
      <c r="B27" s="2" t="str">
        <f t="shared" si="1"/>
        <v>I</v>
      </c>
      <c r="C27" s="3">
        <f t="shared" si="2"/>
        <v>29430.434000000001</v>
      </c>
      <c r="D27" s="4" t="str">
        <f t="shared" si="3"/>
        <v>vis</v>
      </c>
      <c r="E27" s="16">
        <f>VLOOKUP(C27,Active!C$21:E$973,3,FALSE)</f>
        <v>-10867.994190962454</v>
      </c>
      <c r="F27" s="2" t="s">
        <v>58</v>
      </c>
      <c r="G27" s="4" t="str">
        <f t="shared" si="4"/>
        <v>29430.434</v>
      </c>
      <c r="H27" s="3">
        <f t="shared" si="5"/>
        <v>636</v>
      </c>
      <c r="I27" s="17" t="s">
        <v>110</v>
      </c>
      <c r="J27" s="18" t="s">
        <v>111</v>
      </c>
      <c r="K27" s="17">
        <v>636</v>
      </c>
      <c r="L27" s="17" t="s">
        <v>112</v>
      </c>
      <c r="M27" s="18" t="s">
        <v>64</v>
      </c>
      <c r="N27" s="18"/>
      <c r="O27" s="19" t="s">
        <v>65</v>
      </c>
      <c r="P27" s="19" t="s">
        <v>66</v>
      </c>
    </row>
    <row r="28" spans="1:16" ht="12.75" customHeight="1" thickBot="1" x14ac:dyDescent="0.25">
      <c r="A28" s="3" t="str">
        <f t="shared" si="0"/>
        <v> AOLD 21.438 </v>
      </c>
      <c r="B28" s="2" t="str">
        <f t="shared" si="1"/>
        <v>I</v>
      </c>
      <c r="C28" s="3">
        <f t="shared" si="2"/>
        <v>29431.434000000001</v>
      </c>
      <c r="D28" s="4" t="str">
        <f t="shared" si="3"/>
        <v>vis</v>
      </c>
      <c r="E28" s="16">
        <f>VLOOKUP(C28,Active!C$21:E$973,3,FALSE)</f>
        <v>-10867.52313699333</v>
      </c>
      <c r="F28" s="2" t="s">
        <v>58</v>
      </c>
      <c r="G28" s="4" t="str">
        <f t="shared" si="4"/>
        <v>29431.434</v>
      </c>
      <c r="H28" s="3">
        <f t="shared" si="5"/>
        <v>637</v>
      </c>
      <c r="I28" s="17" t="s">
        <v>113</v>
      </c>
      <c r="J28" s="18" t="s">
        <v>114</v>
      </c>
      <c r="K28" s="17">
        <v>637</v>
      </c>
      <c r="L28" s="17" t="s">
        <v>115</v>
      </c>
      <c r="M28" s="18" t="s">
        <v>64</v>
      </c>
      <c r="N28" s="18"/>
      <c r="O28" s="19" t="s">
        <v>65</v>
      </c>
      <c r="P28" s="19" t="s">
        <v>66</v>
      </c>
    </row>
    <row r="29" spans="1:16" ht="12.75" customHeight="1" thickBot="1" x14ac:dyDescent="0.25">
      <c r="A29" s="3" t="str">
        <f t="shared" si="0"/>
        <v> AOLD 21.438 </v>
      </c>
      <c r="B29" s="2" t="str">
        <f t="shared" si="1"/>
        <v>I</v>
      </c>
      <c r="C29" s="3">
        <f t="shared" si="2"/>
        <v>29431.475999999999</v>
      </c>
      <c r="D29" s="4" t="str">
        <f t="shared" si="3"/>
        <v>vis</v>
      </c>
      <c r="E29" s="16">
        <f>VLOOKUP(C29,Active!C$21:E$973,3,FALSE)</f>
        <v>-10867.503352726628</v>
      </c>
      <c r="F29" s="2" t="s">
        <v>58</v>
      </c>
      <c r="G29" s="4" t="str">
        <f t="shared" si="4"/>
        <v>29431.476</v>
      </c>
      <c r="H29" s="3">
        <f t="shared" si="5"/>
        <v>637</v>
      </c>
      <c r="I29" s="17" t="s">
        <v>116</v>
      </c>
      <c r="J29" s="18" t="s">
        <v>117</v>
      </c>
      <c r="K29" s="17">
        <v>637</v>
      </c>
      <c r="L29" s="17" t="s">
        <v>118</v>
      </c>
      <c r="M29" s="18" t="s">
        <v>64</v>
      </c>
      <c r="N29" s="18"/>
      <c r="O29" s="19" t="s">
        <v>65</v>
      </c>
      <c r="P29" s="19" t="s">
        <v>66</v>
      </c>
    </row>
    <row r="30" spans="1:16" ht="12.75" customHeight="1" thickBot="1" x14ac:dyDescent="0.25">
      <c r="A30" s="3" t="str">
        <f t="shared" si="0"/>
        <v> AOLD 21.438 </v>
      </c>
      <c r="B30" s="2" t="str">
        <f t="shared" si="1"/>
        <v>I</v>
      </c>
      <c r="C30" s="3">
        <f t="shared" si="2"/>
        <v>29431.498</v>
      </c>
      <c r="D30" s="4" t="str">
        <f t="shared" si="3"/>
        <v>vis</v>
      </c>
      <c r="E30" s="16">
        <f>VLOOKUP(C30,Active!C$21:E$973,3,FALSE)</f>
        <v>-10867.492989539307</v>
      </c>
      <c r="F30" s="2" t="s">
        <v>58</v>
      </c>
      <c r="G30" s="4" t="str">
        <f t="shared" si="4"/>
        <v>29431.498</v>
      </c>
      <c r="H30" s="3">
        <f t="shared" si="5"/>
        <v>637</v>
      </c>
      <c r="I30" s="17" t="s">
        <v>119</v>
      </c>
      <c r="J30" s="18" t="s">
        <v>120</v>
      </c>
      <c r="K30" s="17">
        <v>637</v>
      </c>
      <c r="L30" s="17" t="s">
        <v>121</v>
      </c>
      <c r="M30" s="18" t="s">
        <v>64</v>
      </c>
      <c r="N30" s="18"/>
      <c r="O30" s="19" t="s">
        <v>65</v>
      </c>
      <c r="P30" s="19" t="s">
        <v>66</v>
      </c>
    </row>
    <row r="31" spans="1:16" ht="12.75" customHeight="1" thickBot="1" x14ac:dyDescent="0.25">
      <c r="A31" s="3" t="str">
        <f t="shared" si="0"/>
        <v> AOLD 21.438 </v>
      </c>
      <c r="B31" s="2" t="str">
        <f t="shared" si="1"/>
        <v>I</v>
      </c>
      <c r="C31" s="3">
        <f t="shared" si="2"/>
        <v>29462.281999999999</v>
      </c>
      <c r="D31" s="4" t="str">
        <f t="shared" si="3"/>
        <v>vis</v>
      </c>
      <c r="E31" s="16">
        <f>VLOOKUP(C31,Active!C$21:E$973,3,FALSE)</f>
        <v>-10852.992064153785</v>
      </c>
      <c r="F31" s="2" t="s">
        <v>58</v>
      </c>
      <c r="G31" s="4" t="str">
        <f t="shared" si="4"/>
        <v>29462.282</v>
      </c>
      <c r="H31" s="3">
        <f t="shared" si="5"/>
        <v>666</v>
      </c>
      <c r="I31" s="17" t="s">
        <v>122</v>
      </c>
      <c r="J31" s="18" t="s">
        <v>123</v>
      </c>
      <c r="K31" s="17">
        <v>666</v>
      </c>
      <c r="L31" s="17" t="s">
        <v>124</v>
      </c>
      <c r="M31" s="18" t="s">
        <v>64</v>
      </c>
      <c r="N31" s="18"/>
      <c r="O31" s="19" t="s">
        <v>65</v>
      </c>
      <c r="P31" s="19" t="s">
        <v>66</v>
      </c>
    </row>
    <row r="32" spans="1:16" ht="12.75" customHeight="1" thickBot="1" x14ac:dyDescent="0.25">
      <c r="A32" s="3" t="str">
        <f t="shared" si="0"/>
        <v> AOLD 21.438 </v>
      </c>
      <c r="B32" s="2" t="str">
        <f t="shared" si="1"/>
        <v>I</v>
      </c>
      <c r="C32" s="3">
        <f t="shared" si="2"/>
        <v>29464.411</v>
      </c>
      <c r="D32" s="4" t="str">
        <f t="shared" si="3"/>
        <v>vis</v>
      </c>
      <c r="E32" s="16">
        <f>VLOOKUP(C32,Active!C$21:E$973,3,FALSE)</f>
        <v>-10851.989190253518</v>
      </c>
      <c r="F32" s="2" t="s">
        <v>58</v>
      </c>
      <c r="G32" s="4" t="str">
        <f t="shared" si="4"/>
        <v>29464.411</v>
      </c>
      <c r="H32" s="3">
        <f t="shared" si="5"/>
        <v>668</v>
      </c>
      <c r="I32" s="17" t="s">
        <v>125</v>
      </c>
      <c r="J32" s="18" t="s">
        <v>126</v>
      </c>
      <c r="K32" s="17">
        <v>668</v>
      </c>
      <c r="L32" s="17" t="s">
        <v>81</v>
      </c>
      <c r="M32" s="18" t="s">
        <v>64</v>
      </c>
      <c r="N32" s="18"/>
      <c r="O32" s="19" t="s">
        <v>65</v>
      </c>
      <c r="P32" s="19" t="s">
        <v>66</v>
      </c>
    </row>
    <row r="33" spans="1:16" ht="12.75" customHeight="1" thickBot="1" x14ac:dyDescent="0.25">
      <c r="A33" s="3" t="str">
        <f t="shared" si="0"/>
        <v> AOLD 21.438 </v>
      </c>
      <c r="B33" s="2" t="str">
        <f t="shared" si="1"/>
        <v>I</v>
      </c>
      <c r="C33" s="3">
        <f t="shared" si="2"/>
        <v>29465.434000000001</v>
      </c>
      <c r="D33" s="4" t="str">
        <f t="shared" si="3"/>
        <v>vis</v>
      </c>
      <c r="E33" s="16">
        <f>VLOOKUP(C33,Active!C$21:E$973,3,FALSE)</f>
        <v>-10851.507302043105</v>
      </c>
      <c r="F33" s="2" t="s">
        <v>58</v>
      </c>
      <c r="G33" s="4" t="str">
        <f t="shared" si="4"/>
        <v>29465.434</v>
      </c>
      <c r="H33" s="3">
        <f t="shared" si="5"/>
        <v>669</v>
      </c>
      <c r="I33" s="17" t="s">
        <v>127</v>
      </c>
      <c r="J33" s="18" t="s">
        <v>128</v>
      </c>
      <c r="K33" s="17">
        <v>669</v>
      </c>
      <c r="L33" s="17" t="s">
        <v>129</v>
      </c>
      <c r="M33" s="18" t="s">
        <v>64</v>
      </c>
      <c r="N33" s="18"/>
      <c r="O33" s="19" t="s">
        <v>65</v>
      </c>
      <c r="P33" s="19" t="s">
        <v>66</v>
      </c>
    </row>
    <row r="34" spans="1:16" ht="12.75" customHeight="1" thickBot="1" x14ac:dyDescent="0.25">
      <c r="A34" s="3" t="str">
        <f t="shared" si="0"/>
        <v> AOLD 21.438 </v>
      </c>
      <c r="B34" s="2" t="str">
        <f t="shared" si="1"/>
        <v>I</v>
      </c>
      <c r="C34" s="3">
        <f t="shared" si="2"/>
        <v>29465.455999999998</v>
      </c>
      <c r="D34" s="4" t="str">
        <f t="shared" si="3"/>
        <v>vis</v>
      </c>
      <c r="E34" s="16">
        <f>VLOOKUP(C34,Active!C$21:E$973,3,FALSE)</f>
        <v>-10851.496938855784</v>
      </c>
      <c r="F34" s="2" t="s">
        <v>58</v>
      </c>
      <c r="G34" s="4" t="str">
        <f t="shared" si="4"/>
        <v>29465.456</v>
      </c>
      <c r="H34" s="3">
        <f t="shared" si="5"/>
        <v>669</v>
      </c>
      <c r="I34" s="17" t="s">
        <v>130</v>
      </c>
      <c r="J34" s="18" t="s">
        <v>131</v>
      </c>
      <c r="K34" s="17">
        <v>669</v>
      </c>
      <c r="L34" s="17" t="s">
        <v>132</v>
      </c>
      <c r="M34" s="18" t="s">
        <v>64</v>
      </c>
      <c r="N34" s="18"/>
      <c r="O34" s="19" t="s">
        <v>65</v>
      </c>
      <c r="P34" s="19" t="s">
        <v>66</v>
      </c>
    </row>
    <row r="35" spans="1:16" ht="12.75" customHeight="1" thickBot="1" x14ac:dyDescent="0.25">
      <c r="A35" s="3" t="str">
        <f t="shared" si="0"/>
        <v> AOLD 21.438 </v>
      </c>
      <c r="B35" s="2" t="str">
        <f t="shared" si="1"/>
        <v>I</v>
      </c>
      <c r="C35" s="3">
        <f t="shared" si="2"/>
        <v>29479.232</v>
      </c>
      <c r="D35" s="4" t="str">
        <f t="shared" si="3"/>
        <v>vis</v>
      </c>
      <c r="E35" s="16">
        <f>VLOOKUP(C35,Active!C$21:E$973,3,FALSE)</f>
        <v>-10845.007699377127</v>
      </c>
      <c r="F35" s="2" t="s">
        <v>58</v>
      </c>
      <c r="G35" s="4" t="str">
        <f t="shared" si="4"/>
        <v>29479.232</v>
      </c>
      <c r="H35" s="3">
        <f t="shared" si="5"/>
        <v>682</v>
      </c>
      <c r="I35" s="17" t="s">
        <v>133</v>
      </c>
      <c r="J35" s="18" t="s">
        <v>134</v>
      </c>
      <c r="K35" s="17">
        <v>682</v>
      </c>
      <c r="L35" s="17" t="s">
        <v>78</v>
      </c>
      <c r="M35" s="18" t="s">
        <v>64</v>
      </c>
      <c r="N35" s="18"/>
      <c r="O35" s="19" t="s">
        <v>65</v>
      </c>
      <c r="P35" s="19" t="s">
        <v>66</v>
      </c>
    </row>
    <row r="36" spans="1:16" ht="12.75" customHeight="1" thickBot="1" x14ac:dyDescent="0.25">
      <c r="A36" s="3" t="str">
        <f t="shared" si="0"/>
        <v> AOLD 21.438 </v>
      </c>
      <c r="B36" s="2" t="str">
        <f t="shared" si="1"/>
        <v>I</v>
      </c>
      <c r="C36" s="3">
        <f t="shared" si="2"/>
        <v>29479.256000000001</v>
      </c>
      <c r="D36" s="4" t="str">
        <f t="shared" si="3"/>
        <v>vis</v>
      </c>
      <c r="E36" s="16">
        <f>VLOOKUP(C36,Active!C$21:E$973,3,FALSE)</f>
        <v>-10844.996394081869</v>
      </c>
      <c r="F36" s="2" t="s">
        <v>58</v>
      </c>
      <c r="G36" s="4" t="str">
        <f t="shared" si="4"/>
        <v>29479.256</v>
      </c>
      <c r="H36" s="3">
        <f t="shared" si="5"/>
        <v>682</v>
      </c>
      <c r="I36" s="17" t="s">
        <v>135</v>
      </c>
      <c r="J36" s="18" t="s">
        <v>136</v>
      </c>
      <c r="K36" s="17">
        <v>682</v>
      </c>
      <c r="L36" s="17" t="s">
        <v>89</v>
      </c>
      <c r="M36" s="18" t="s">
        <v>64</v>
      </c>
      <c r="N36" s="18"/>
      <c r="O36" s="19" t="s">
        <v>65</v>
      </c>
      <c r="P36" s="19" t="s">
        <v>66</v>
      </c>
    </row>
    <row r="37" spans="1:16" ht="12.75" customHeight="1" thickBot="1" x14ac:dyDescent="0.25">
      <c r="A37" s="3" t="str">
        <f t="shared" si="0"/>
        <v> AOLD 21.438 </v>
      </c>
      <c r="B37" s="2" t="str">
        <f t="shared" si="1"/>
        <v>I</v>
      </c>
      <c r="C37" s="3">
        <f t="shared" si="2"/>
        <v>29480.309000000001</v>
      </c>
      <c r="D37" s="4" t="str">
        <f t="shared" si="3"/>
        <v>vis</v>
      </c>
      <c r="E37" s="16">
        <f>VLOOKUP(C37,Active!C$21:E$973,3,FALSE)</f>
        <v>-10844.50037425238</v>
      </c>
      <c r="F37" s="2" t="s">
        <v>58</v>
      </c>
      <c r="G37" s="4" t="str">
        <f t="shared" si="4"/>
        <v>29480.309</v>
      </c>
      <c r="H37" s="3">
        <f t="shared" si="5"/>
        <v>683</v>
      </c>
      <c r="I37" s="17" t="s">
        <v>137</v>
      </c>
      <c r="J37" s="18" t="s">
        <v>138</v>
      </c>
      <c r="K37" s="17">
        <v>683</v>
      </c>
      <c r="L37" s="17" t="s">
        <v>139</v>
      </c>
      <c r="M37" s="18" t="s">
        <v>64</v>
      </c>
      <c r="N37" s="18"/>
      <c r="O37" s="19" t="s">
        <v>65</v>
      </c>
      <c r="P37" s="19" t="s">
        <v>66</v>
      </c>
    </row>
    <row r="38" spans="1:16" ht="12.75" customHeight="1" thickBot="1" x14ac:dyDescent="0.25">
      <c r="A38" s="3" t="str">
        <f t="shared" si="0"/>
        <v> AOLD 21.438 </v>
      </c>
      <c r="B38" s="2" t="str">
        <f t="shared" si="1"/>
        <v>I</v>
      </c>
      <c r="C38" s="3">
        <f t="shared" si="2"/>
        <v>29481.363000000001</v>
      </c>
      <c r="D38" s="4" t="str">
        <f t="shared" si="3"/>
        <v>vis</v>
      </c>
      <c r="E38" s="16">
        <f>VLOOKUP(C38,Active!C$21:E$973,3,FALSE)</f>
        <v>-10844.003883368923</v>
      </c>
      <c r="F38" s="2" t="s">
        <v>58</v>
      </c>
      <c r="G38" s="4" t="str">
        <f t="shared" si="4"/>
        <v>29481.363</v>
      </c>
      <c r="H38" s="3">
        <f t="shared" si="5"/>
        <v>684</v>
      </c>
      <c r="I38" s="17" t="s">
        <v>140</v>
      </c>
      <c r="J38" s="18" t="s">
        <v>141</v>
      </c>
      <c r="K38" s="17">
        <v>684</v>
      </c>
      <c r="L38" s="17" t="s">
        <v>60</v>
      </c>
      <c r="M38" s="18" t="s">
        <v>64</v>
      </c>
      <c r="N38" s="18"/>
      <c r="O38" s="19" t="s">
        <v>65</v>
      </c>
      <c r="P38" s="19" t="s">
        <v>66</v>
      </c>
    </row>
    <row r="39" spans="1:16" ht="12.75" customHeight="1" thickBot="1" x14ac:dyDescent="0.25">
      <c r="A39" s="3" t="str">
        <f t="shared" si="0"/>
        <v> AOLD 21.438 </v>
      </c>
      <c r="B39" s="2" t="str">
        <f t="shared" si="1"/>
        <v>I</v>
      </c>
      <c r="C39" s="3">
        <f t="shared" si="2"/>
        <v>29514.293000000001</v>
      </c>
      <c r="D39" s="4" t="str">
        <f t="shared" si="3"/>
        <v>vis</v>
      </c>
      <c r="E39" s="16">
        <f>VLOOKUP(C39,Active!C$21:E$973,3,FALSE)</f>
        <v>-10828.492076165659</v>
      </c>
      <c r="F39" s="2" t="s">
        <v>58</v>
      </c>
      <c r="G39" s="4" t="str">
        <f t="shared" si="4"/>
        <v>29514.293</v>
      </c>
      <c r="H39" s="3">
        <f t="shared" si="5"/>
        <v>715</v>
      </c>
      <c r="I39" s="17" t="s">
        <v>142</v>
      </c>
      <c r="J39" s="18" t="s">
        <v>143</v>
      </c>
      <c r="K39" s="17">
        <v>715</v>
      </c>
      <c r="L39" s="17" t="s">
        <v>63</v>
      </c>
      <c r="M39" s="18" t="s">
        <v>64</v>
      </c>
      <c r="N39" s="18"/>
      <c r="O39" s="19" t="s">
        <v>65</v>
      </c>
      <c r="P39" s="19" t="s">
        <v>66</v>
      </c>
    </row>
    <row r="40" spans="1:16" ht="12.75" customHeight="1" thickBot="1" x14ac:dyDescent="0.25">
      <c r="A40" s="3" t="str">
        <f t="shared" si="0"/>
        <v> AOLD 21.438 </v>
      </c>
      <c r="B40" s="2" t="str">
        <f t="shared" si="1"/>
        <v>I</v>
      </c>
      <c r="C40" s="3">
        <f t="shared" si="2"/>
        <v>29549.258000000002</v>
      </c>
      <c r="D40" s="4" t="str">
        <f t="shared" si="3"/>
        <v>vis</v>
      </c>
      <c r="E40" s="16">
        <f>VLOOKUP(C40,Active!C$21:E$973,3,FALSE)</f>
        <v>-10812.021674135229</v>
      </c>
      <c r="F40" s="2" t="s">
        <v>58</v>
      </c>
      <c r="G40" s="4" t="str">
        <f t="shared" si="4"/>
        <v>29549.258</v>
      </c>
      <c r="H40" s="3">
        <f t="shared" si="5"/>
        <v>748</v>
      </c>
      <c r="I40" s="17" t="s">
        <v>144</v>
      </c>
      <c r="J40" s="18" t="s">
        <v>145</v>
      </c>
      <c r="K40" s="17">
        <v>748</v>
      </c>
      <c r="L40" s="17" t="s">
        <v>146</v>
      </c>
      <c r="M40" s="18" t="s">
        <v>64</v>
      </c>
      <c r="N40" s="18"/>
      <c r="O40" s="19" t="s">
        <v>65</v>
      </c>
      <c r="P40" s="19" t="s">
        <v>66</v>
      </c>
    </row>
    <row r="41" spans="1:16" ht="12.75" customHeight="1" thickBot="1" x14ac:dyDescent="0.25">
      <c r="A41" s="3" t="str">
        <f t="shared" si="0"/>
        <v> AOLD 21.438 </v>
      </c>
      <c r="B41" s="2" t="str">
        <f t="shared" si="1"/>
        <v>I</v>
      </c>
      <c r="C41" s="3">
        <f t="shared" si="2"/>
        <v>29549.280999999999</v>
      </c>
      <c r="D41" s="4" t="str">
        <f t="shared" si="3"/>
        <v>vis</v>
      </c>
      <c r="E41" s="16">
        <f>VLOOKUP(C41,Active!C$21:E$973,3,FALSE)</f>
        <v>-10812.010839893941</v>
      </c>
      <c r="F41" s="2" t="s">
        <v>58</v>
      </c>
      <c r="G41" s="4" t="str">
        <f t="shared" si="4"/>
        <v>29549.281</v>
      </c>
      <c r="H41" s="3">
        <f t="shared" si="5"/>
        <v>748</v>
      </c>
      <c r="I41" s="17" t="s">
        <v>147</v>
      </c>
      <c r="J41" s="18" t="s">
        <v>148</v>
      </c>
      <c r="K41" s="17">
        <v>748</v>
      </c>
      <c r="L41" s="17" t="s">
        <v>149</v>
      </c>
      <c r="M41" s="18" t="s">
        <v>64</v>
      </c>
      <c r="N41" s="18"/>
      <c r="O41" s="19" t="s">
        <v>65</v>
      </c>
      <c r="P41" s="19" t="s">
        <v>66</v>
      </c>
    </row>
    <row r="42" spans="1:16" x14ac:dyDescent="0.2">
      <c r="B42" s="2"/>
      <c r="E42" s="16"/>
      <c r="F42" s="2"/>
    </row>
    <row r="43" spans="1:16" x14ac:dyDescent="0.2">
      <c r="B43" s="2"/>
      <c r="E43" s="16"/>
      <c r="F43" s="2"/>
    </row>
    <row r="44" spans="1:16" x14ac:dyDescent="0.2">
      <c r="B44" s="2"/>
      <c r="E44" s="16"/>
      <c r="F44" s="2"/>
    </row>
    <row r="45" spans="1:16" x14ac:dyDescent="0.2">
      <c r="B45" s="2"/>
      <c r="E45" s="16"/>
      <c r="F45" s="2"/>
    </row>
    <row r="46" spans="1:16" x14ac:dyDescent="0.2">
      <c r="B46" s="2"/>
      <c r="E46" s="16"/>
      <c r="F46" s="2"/>
    </row>
    <row r="47" spans="1:16" x14ac:dyDescent="0.2">
      <c r="B47" s="2"/>
      <c r="E47" s="16"/>
      <c r="F47" s="2"/>
    </row>
    <row r="48" spans="1:1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E54" s="16"/>
      <c r="F54" s="2"/>
    </row>
    <row r="55" spans="2:6" x14ac:dyDescent="0.2">
      <c r="B55" s="2"/>
      <c r="E55" s="16"/>
      <c r="F55" s="2"/>
    </row>
    <row r="56" spans="2:6" x14ac:dyDescent="0.2">
      <c r="B56" s="2"/>
      <c r="E56" s="16"/>
      <c r="F56" s="2"/>
    </row>
    <row r="57" spans="2:6" x14ac:dyDescent="0.2">
      <c r="B57" s="2"/>
      <c r="E57" s="16"/>
      <c r="F57" s="2"/>
    </row>
    <row r="58" spans="2:6" x14ac:dyDescent="0.2">
      <c r="B58" s="2"/>
      <c r="E58" s="16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2024-03-05T06:19:39Z</dcterms:modified>
</cp:coreProperties>
</file>