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09D534D-04C9-444B-80EC-F711570CE8A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9" i="1"/>
  <c r="F16" i="1"/>
  <c r="C17" i="1"/>
  <c r="Q58" i="1"/>
  <c r="C12" i="1"/>
  <c r="C11" i="1"/>
  <c r="O31" i="1" l="1"/>
  <c r="O27" i="1"/>
  <c r="O50" i="1"/>
  <c r="O47" i="1"/>
  <c r="O35" i="1"/>
  <c r="O25" i="1"/>
  <c r="O53" i="1"/>
  <c r="O30" i="1"/>
  <c r="O57" i="1"/>
  <c r="O44" i="1"/>
  <c r="O40" i="1"/>
  <c r="O56" i="1"/>
  <c r="O29" i="1"/>
  <c r="O46" i="1"/>
  <c r="O37" i="1"/>
  <c r="O54" i="1"/>
  <c r="O36" i="1"/>
  <c r="O48" i="1"/>
  <c r="O41" i="1"/>
  <c r="O52" i="1"/>
  <c r="O28" i="1"/>
  <c r="O33" i="1"/>
  <c r="O49" i="1"/>
  <c r="O55" i="1"/>
  <c r="O34" i="1"/>
  <c r="O39" i="1"/>
  <c r="O51" i="1"/>
  <c r="O32" i="1"/>
  <c r="O26" i="1"/>
  <c r="O23" i="1"/>
  <c r="O38" i="1"/>
  <c r="O24" i="1"/>
  <c r="O43" i="1"/>
  <c r="O42" i="1"/>
  <c r="O21" i="1"/>
  <c r="C15" i="1"/>
  <c r="O58" i="1"/>
  <c r="O22" i="1"/>
  <c r="O4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<sst xmlns="http://schemas.openxmlformats.org/spreadsheetml/2006/main" count="395" uniqueCount="183">
  <si>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</si>
  <si>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</si>
  <si>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</si>
  <si>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</si>
  <si>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</si>
  <si>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</si>
  <si>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</si>
  <si>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</si>
  <si>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</si>
  <si>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</si>
  <si>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</si>
  <si>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</si>
  <si>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</si>
  <si>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</si>
  <si>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</si>
  <si>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</si>
  <si>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</si>
  <si>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</si>
  <si>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</si>
  <si>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</si>
  <si>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</si>
  <si>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</si>
  <si>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</si>
  <si>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</si>
  <si>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</si>
  <si>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</si>
  <si>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</si>
  <si>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</si>
  <si>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</si>
  <si>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</si>
  <si>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</si>
  <si>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</si>
  <si>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</si>
  <si>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</si>
  <si>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</si>
  <si>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</si>
  <si>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</si>
  <si>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</si>
  <si>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</si>
  <si>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</si>
  <si>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</si>
  <si>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</si>
  <si>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</si>
  <si>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</si>
  <si>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</si>
  <si>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</si>
  <si>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</si>
  <si>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</si>
  <si>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</si>
  <si>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W Sct</t>
  </si>
  <si>
    <t>EA/DM</t>
  </si>
  <si>
    <t>GCVS 4</t>
  </si>
  <si>
    <t>W Sct / GSC 52503.2</t>
  </si>
  <si>
    <t>2415571.63 </t>
  </si>
  <si>
    <t> 06.07.1901 03:07 </t>
  </si>
  <si>
    <t> 0.23 </t>
  </si>
  <si>
    <t>P </t>
  </si>
  <si>
    <t> E.C.Pickering </t>
  </si>
  <si>
    <t> AN 175.169 </t>
  </si>
  <si>
    <t>2416310.71 </t>
  </si>
  <si>
    <t> 15.07.1903 05:02 </t>
  </si>
  <si>
    <t> -0.15 </t>
  </si>
  <si>
    <t>2416639.71 </t>
  </si>
  <si>
    <t> 08.06.1904 05:02 </t>
  </si>
  <si>
    <t> 0.20 </t>
  </si>
  <si>
    <t>2416649.71 </t>
  </si>
  <si>
    <t> 18.06.1904 05:02 </t>
  </si>
  <si>
    <t> -0.07 </t>
  </si>
  <si>
    <t>2416711.63 </t>
  </si>
  <si>
    <t> 19.08.1904 03:07 </t>
  </si>
  <si>
    <t>2416752.54 </t>
  </si>
  <si>
    <t> 29.09.1904 00:57 </t>
  </si>
  <si>
    <t> 0.05 </t>
  </si>
  <si>
    <t>2416957.83 </t>
  </si>
  <si>
    <t> 22.04.1905 07:55 </t>
  </si>
  <si>
    <t> -0.06 </t>
  </si>
  <si>
    <t>2417140.46 </t>
  </si>
  <si>
    <t> 21.10.1905 23:02 </t>
  </si>
  <si>
    <t> -2.30 </t>
  </si>
  <si>
    <t>2418714.32 </t>
  </si>
  <si>
    <t> 11.02.1910 19:40 </t>
  </si>
  <si>
    <t> 0.21 </t>
  </si>
  <si>
    <t>V </t>
  </si>
  <si>
    <t> N.Ichinohe </t>
  </si>
  <si>
    <t>VSB 47 </t>
  </si>
  <si>
    <t>2419145.187 </t>
  </si>
  <si>
    <t> 18.04.1911 16:29 </t>
  </si>
  <si>
    <t> -0.279 </t>
  </si>
  <si>
    <t>2419217.48 </t>
  </si>
  <si>
    <t> 29.06.1911 23:31 </t>
  </si>
  <si>
    <t> 0.12 </t>
  </si>
  <si>
    <t> E.Zinner </t>
  </si>
  <si>
    <t> AN 202.240 </t>
  </si>
  <si>
    <t>2419268.50 </t>
  </si>
  <si>
    <t> 20.08.1911 00:00 </t>
  </si>
  <si>
    <t> -0.21 </t>
  </si>
  <si>
    <t>2419299.36 </t>
  </si>
  <si>
    <t> 19.09.1911 20:38 </t>
  </si>
  <si>
    <t> -0.16 </t>
  </si>
  <si>
    <t>2419330.30 </t>
  </si>
  <si>
    <t> 20.10.1911 19:12 </t>
  </si>
  <si>
    <t> -0.03 </t>
  </si>
  <si>
    <t>2419597.47 </t>
  </si>
  <si>
    <t> 13.07.1912 23:16 </t>
  </si>
  <si>
    <t> 0.11 </t>
  </si>
  <si>
    <t>2419607.49 </t>
  </si>
  <si>
    <t> 23.07.1912 23:45 </t>
  </si>
  <si>
    <t> -0.14 </t>
  </si>
  <si>
    <t>2419710.22 </t>
  </si>
  <si>
    <t> 03.11.1912 17:16 </t>
  </si>
  <si>
    <t> -0.11 </t>
  </si>
  <si>
    <t>2419977.50 </t>
  </si>
  <si>
    <t> 29.07.1913 00:00 </t>
  </si>
  <si>
    <t> 0.14 </t>
  </si>
  <si>
    <t>2420008.34 </t>
  </si>
  <si>
    <t> 28.08.1913 20:09 </t>
  </si>
  <si>
    <t> 0.17 </t>
  </si>
  <si>
    <t>2420018.42 </t>
  </si>
  <si>
    <t> 07.09.1913 22:04 </t>
  </si>
  <si>
    <t> -0.02 </t>
  </si>
  <si>
    <t>2420028.46 </t>
  </si>
  <si>
    <t> 17.09.1913 23:02 </t>
  </si>
  <si>
    <t> -0.25 </t>
  </si>
  <si>
    <t>2420039.27 </t>
  </si>
  <si>
    <t> 28.09.1913 18:28 </t>
  </si>
  <si>
    <t> 0.29 </t>
  </si>
  <si>
    <t>2420059.26 </t>
  </si>
  <si>
    <t> 18.10.1913 18:14 </t>
  </si>
  <si>
    <t> -0.26 </t>
  </si>
  <si>
    <t>2420065.26 </t>
  </si>
  <si>
    <t> 24.10.1913 18:14 </t>
  </si>
  <si>
    <t> 0.60 </t>
  </si>
  <si>
    <t>2420070.25 </t>
  </si>
  <si>
    <t> 29.10.1913 18:00 </t>
  </si>
  <si>
    <t> 0.46 </t>
  </si>
  <si>
    <t>2420665.47 </t>
  </si>
  <si>
    <t> 16.06.1915 23:16 </t>
  </si>
  <si>
    <t> 0.00 </t>
  </si>
  <si>
    <t> C.Hoffmeister </t>
  </si>
  <si>
    <t> AN 214.7 </t>
  </si>
  <si>
    <t>2421425.42 </t>
  </si>
  <si>
    <t> 15.07.1917 22:04 </t>
  </si>
  <si>
    <t> -0.05 </t>
  </si>
  <si>
    <t>2421456.40 </t>
  </si>
  <si>
    <t> 15.08.1917 21:36 </t>
  </si>
  <si>
    <t>2421497.30 </t>
  </si>
  <si>
    <t> 25.09.1917 19:12 </t>
  </si>
  <si>
    <t>2421846.45 </t>
  </si>
  <si>
    <t> 09.09.1918 22:48 </t>
  </si>
  <si>
    <t> -0.10 </t>
  </si>
  <si>
    <t>2424325.51 </t>
  </si>
  <si>
    <t> 24.06.1925 00:14 </t>
  </si>
  <si>
    <t> -1.32 </t>
  </si>
  <si>
    <t> K.Kordylewski </t>
  </si>
  <si>
    <t> AAC 1.34 </t>
  </si>
  <si>
    <t>2425461.71 </t>
  </si>
  <si>
    <t> 03.08.1928 05:02 </t>
  </si>
  <si>
    <t> 0.01 </t>
  </si>
  <si>
    <t> D.B.McLaughlin </t>
  </si>
  <si>
    <t> AJ 39.85 </t>
  </si>
  <si>
    <t>2425719.460 </t>
  </si>
  <si>
    <t> 17.04.1929 23:02 </t>
  </si>
  <si>
    <t> 1.002 </t>
  </si>
  <si>
    <t> AA 26.342 </t>
  </si>
  <si>
    <t>2428234.650 </t>
  </si>
  <si>
    <t> 07.03.1936 03:36 </t>
  </si>
  <si>
    <t> -0.031 </t>
  </si>
  <si>
    <t> S.Gaposchkin </t>
  </si>
  <si>
    <t> HA 113.77 </t>
  </si>
  <si>
    <t>2428347.631 </t>
  </si>
  <si>
    <t> 28.06.1936 03:08 </t>
  </si>
  <si>
    <t> -0.023 </t>
  </si>
  <si>
    <t>2434961.76 </t>
  </si>
  <si>
    <t> 07.08.1954 06:14 </t>
  </si>
  <si>
    <t> 0.03 </t>
  </si>
  <si>
    <t> R.Szafraniec </t>
  </si>
  <si>
    <t> AAC 5.195 </t>
  </si>
  <si>
    <t>2435742.27 </t>
  </si>
  <si>
    <t> 25.09.1956 18:28 </t>
  </si>
  <si>
    <t> -0.00 </t>
  </si>
  <si>
    <t> AA 7.190 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</si>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</sst>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17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Sct - O-C Diagr.</a:t>
            </a:r>
          </a:p>
        </c:rich>
      </c:tx>
      <c:layout>
        <c:manualLayout>
          <c:xMode val="edge"/>
          <c:yMode val="edge"/>
          <c:x val="0.3954887218045112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3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3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-3596</c:v>
                </c:pt>
                <c:pt idx="1">
                  <c:v>-3524</c:v>
                </c:pt>
                <c:pt idx="2">
                  <c:v>-3492</c:v>
                </c:pt>
                <c:pt idx="3">
                  <c:v>-3491</c:v>
                </c:pt>
                <c:pt idx="4">
                  <c:v>-3485</c:v>
                </c:pt>
                <c:pt idx="5">
                  <c:v>-3481</c:v>
                </c:pt>
                <c:pt idx="6">
                  <c:v>-3461</c:v>
                </c:pt>
                <c:pt idx="7">
                  <c:v>-3443</c:v>
                </c:pt>
                <c:pt idx="8">
                  <c:v>-3290</c:v>
                </c:pt>
                <c:pt idx="9">
                  <c:v>-3248</c:v>
                </c:pt>
                <c:pt idx="10">
                  <c:v>-3241</c:v>
                </c:pt>
                <c:pt idx="11">
                  <c:v>-3236</c:v>
                </c:pt>
                <c:pt idx="12">
                  <c:v>-3233</c:v>
                </c:pt>
                <c:pt idx="13">
                  <c:v>-3230</c:v>
                </c:pt>
                <c:pt idx="14">
                  <c:v>-3204</c:v>
                </c:pt>
                <c:pt idx="15">
                  <c:v>-3203</c:v>
                </c:pt>
                <c:pt idx="16">
                  <c:v>-3193</c:v>
                </c:pt>
                <c:pt idx="17">
                  <c:v>-3167</c:v>
                </c:pt>
                <c:pt idx="18">
                  <c:v>-3164</c:v>
                </c:pt>
                <c:pt idx="19">
                  <c:v>-3163</c:v>
                </c:pt>
                <c:pt idx="20">
                  <c:v>-3162</c:v>
                </c:pt>
                <c:pt idx="21">
                  <c:v>-3161</c:v>
                </c:pt>
                <c:pt idx="22">
                  <c:v>-3159</c:v>
                </c:pt>
                <c:pt idx="23">
                  <c:v>-3158.5</c:v>
                </c:pt>
                <c:pt idx="24">
                  <c:v>-3158</c:v>
                </c:pt>
                <c:pt idx="25">
                  <c:v>-3100</c:v>
                </c:pt>
                <c:pt idx="26">
                  <c:v>-3026</c:v>
                </c:pt>
                <c:pt idx="27">
                  <c:v>-3023</c:v>
                </c:pt>
                <c:pt idx="28">
                  <c:v>-3019</c:v>
                </c:pt>
                <c:pt idx="29">
                  <c:v>-2985</c:v>
                </c:pt>
                <c:pt idx="30">
                  <c:v>-2743.5</c:v>
                </c:pt>
                <c:pt idx="31">
                  <c:v>-2633</c:v>
                </c:pt>
                <c:pt idx="32">
                  <c:v>-2608</c:v>
                </c:pt>
                <c:pt idx="33">
                  <c:v>-2363</c:v>
                </c:pt>
                <c:pt idx="34">
                  <c:v>-2352</c:v>
                </c:pt>
                <c:pt idx="35">
                  <c:v>-1708</c:v>
                </c:pt>
                <c:pt idx="36">
                  <c:v>-1632</c:v>
                </c:pt>
                <c:pt idx="37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0.14112000000204716</c:v>
                </c:pt>
                <c:pt idx="1">
                  <c:v>-0.23472000000037951</c:v>
                </c:pt>
                <c:pt idx="2">
                  <c:v>0.11824000000342494</c:v>
                </c:pt>
                <c:pt idx="3">
                  <c:v>-0.15197999999509193</c:v>
                </c:pt>
                <c:pt idx="4">
                  <c:v>0.14670000000114669</c:v>
                </c:pt>
                <c:pt idx="5">
                  <c:v>-2.4179999993066303E-2</c:v>
                </c:pt>
                <c:pt idx="6">
                  <c:v>-0.13857999999163439</c:v>
                </c:pt>
                <c:pt idx="7">
                  <c:v>-2.3725399999966612</c:v>
                </c:pt>
                <c:pt idx="8">
                  <c:v>0.14380000000528526</c:v>
                </c:pt>
                <c:pt idx="9">
                  <c:v>-0.33843999999589869</c:v>
                </c:pt>
                <c:pt idx="10">
                  <c:v>6.3020000005053589E-2</c:v>
                </c:pt>
                <c:pt idx="11">
                  <c:v>-0.26807999999437016</c:v>
                </c:pt>
                <c:pt idx="12">
                  <c:v>-0.21873999999661464</c:v>
                </c:pt>
                <c:pt idx="13">
                  <c:v>-8.9400000000750879E-2</c:v>
                </c:pt>
                <c:pt idx="14">
                  <c:v>5.4880000003322493E-2</c:v>
                </c:pt>
                <c:pt idx="15">
                  <c:v>-0.19533999999475782</c:v>
                </c:pt>
                <c:pt idx="16">
                  <c:v>-0.16753999999491498</c:v>
                </c:pt>
                <c:pt idx="17">
                  <c:v>8.6740000002464512E-2</c:v>
                </c:pt>
                <c:pt idx="18">
                  <c:v>0.11608000000342145</c:v>
                </c:pt>
                <c:pt idx="19">
                  <c:v>-7.4139999996987171E-2</c:v>
                </c:pt>
                <c:pt idx="20">
                  <c:v>-0.3043599999982689</c:v>
                </c:pt>
                <c:pt idx="21">
                  <c:v>0.2354200000045239</c:v>
                </c:pt>
                <c:pt idx="22">
                  <c:v>-0.31501999999818509</c:v>
                </c:pt>
                <c:pt idx="23">
                  <c:v>0.54987000000255648</c:v>
                </c:pt>
                <c:pt idx="24">
                  <c:v>0.40476000000489876</c:v>
                </c:pt>
                <c:pt idx="25">
                  <c:v>-4.7999999995226972E-2</c:v>
                </c:pt>
                <c:pt idx="26">
                  <c:v>-9.427999999752501E-2</c:v>
                </c:pt>
                <c:pt idx="27">
                  <c:v>7.5060000006487826E-2</c:v>
                </c:pt>
                <c:pt idx="28">
                  <c:v>-0.10581999999703839</c:v>
                </c:pt>
                <c:pt idx="29">
                  <c:v>-0.14329999999608845</c:v>
                </c:pt>
                <c:pt idx="30">
                  <c:v>-1.3414299999967625</c:v>
                </c:pt>
                <c:pt idx="31">
                  <c:v>-7.3999999585794285E-4</c:v>
                </c:pt>
                <c:pt idx="32">
                  <c:v>0.99376000000120257</c:v>
                </c:pt>
                <c:pt idx="33">
                  <c:v>-2.013999999689986E-2</c:v>
                </c:pt>
                <c:pt idx="34">
                  <c:v>-1.1559999995370163E-2</c:v>
                </c:pt>
                <c:pt idx="35">
                  <c:v>9.5760000003792811E-2</c:v>
                </c:pt>
                <c:pt idx="36">
                  <c:v>6.9039999994856771E-2</c:v>
                </c:pt>
                <c:pt idx="3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47-4231-96F8-9F59919A5C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-3596</c:v>
                </c:pt>
                <c:pt idx="1">
                  <c:v>-3524</c:v>
                </c:pt>
                <c:pt idx="2">
                  <c:v>-3492</c:v>
                </c:pt>
                <c:pt idx="3">
                  <c:v>-3491</c:v>
                </c:pt>
                <c:pt idx="4">
                  <c:v>-3485</c:v>
                </c:pt>
                <c:pt idx="5">
                  <c:v>-3481</c:v>
                </c:pt>
                <c:pt idx="6">
                  <c:v>-3461</c:v>
                </c:pt>
                <c:pt idx="7">
                  <c:v>-3443</c:v>
                </c:pt>
                <c:pt idx="8">
                  <c:v>-3290</c:v>
                </c:pt>
                <c:pt idx="9">
                  <c:v>-3248</c:v>
                </c:pt>
                <c:pt idx="10">
                  <c:v>-3241</c:v>
                </c:pt>
                <c:pt idx="11">
                  <c:v>-3236</c:v>
                </c:pt>
                <c:pt idx="12">
                  <c:v>-3233</c:v>
                </c:pt>
                <c:pt idx="13">
                  <c:v>-3230</c:v>
                </c:pt>
                <c:pt idx="14">
                  <c:v>-3204</c:v>
                </c:pt>
                <c:pt idx="15">
                  <c:v>-3203</c:v>
                </c:pt>
                <c:pt idx="16">
                  <c:v>-3193</c:v>
                </c:pt>
                <c:pt idx="17">
                  <c:v>-3167</c:v>
                </c:pt>
                <c:pt idx="18">
                  <c:v>-3164</c:v>
                </c:pt>
                <c:pt idx="19">
                  <c:v>-3163</c:v>
                </c:pt>
                <c:pt idx="20">
                  <c:v>-3162</c:v>
                </c:pt>
                <c:pt idx="21">
                  <c:v>-3161</c:v>
                </c:pt>
                <c:pt idx="22">
                  <c:v>-3159</c:v>
                </c:pt>
                <c:pt idx="23">
                  <c:v>-3158.5</c:v>
                </c:pt>
                <c:pt idx="24">
                  <c:v>-3158</c:v>
                </c:pt>
                <c:pt idx="25">
                  <c:v>-3100</c:v>
                </c:pt>
                <c:pt idx="26">
                  <c:v>-3026</c:v>
                </c:pt>
                <c:pt idx="27">
                  <c:v>-3023</c:v>
                </c:pt>
                <c:pt idx="28">
                  <c:v>-3019</c:v>
                </c:pt>
                <c:pt idx="29">
                  <c:v>-2985</c:v>
                </c:pt>
                <c:pt idx="30">
                  <c:v>-2743.5</c:v>
                </c:pt>
                <c:pt idx="31">
                  <c:v>-2633</c:v>
                </c:pt>
                <c:pt idx="32">
                  <c:v>-2608</c:v>
                </c:pt>
                <c:pt idx="33">
                  <c:v>-2363</c:v>
                </c:pt>
                <c:pt idx="34">
                  <c:v>-2352</c:v>
                </c:pt>
                <c:pt idx="35">
                  <c:v>-1708</c:v>
                </c:pt>
                <c:pt idx="36">
                  <c:v>-1632</c:v>
                </c:pt>
                <c:pt idx="37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47-4231-96F8-9F59919A5C9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-3596</c:v>
                </c:pt>
                <c:pt idx="1">
                  <c:v>-3524</c:v>
                </c:pt>
                <c:pt idx="2">
                  <c:v>-3492</c:v>
                </c:pt>
                <c:pt idx="3">
                  <c:v>-3491</c:v>
                </c:pt>
                <c:pt idx="4">
                  <c:v>-3485</c:v>
                </c:pt>
                <c:pt idx="5">
                  <c:v>-3481</c:v>
                </c:pt>
                <c:pt idx="6">
                  <c:v>-3461</c:v>
                </c:pt>
                <c:pt idx="7">
                  <c:v>-3443</c:v>
                </c:pt>
                <c:pt idx="8">
                  <c:v>-3290</c:v>
                </c:pt>
                <c:pt idx="9">
                  <c:v>-3248</c:v>
                </c:pt>
                <c:pt idx="10">
                  <c:v>-3241</c:v>
                </c:pt>
                <c:pt idx="11">
                  <c:v>-3236</c:v>
                </c:pt>
                <c:pt idx="12">
                  <c:v>-3233</c:v>
                </c:pt>
                <c:pt idx="13">
                  <c:v>-3230</c:v>
                </c:pt>
                <c:pt idx="14">
                  <c:v>-3204</c:v>
                </c:pt>
                <c:pt idx="15">
                  <c:v>-3203</c:v>
                </c:pt>
                <c:pt idx="16">
                  <c:v>-3193</c:v>
                </c:pt>
                <c:pt idx="17">
                  <c:v>-3167</c:v>
                </c:pt>
                <c:pt idx="18">
                  <c:v>-3164</c:v>
                </c:pt>
                <c:pt idx="19">
                  <c:v>-3163</c:v>
                </c:pt>
                <c:pt idx="20">
                  <c:v>-3162</c:v>
                </c:pt>
                <c:pt idx="21">
                  <c:v>-3161</c:v>
                </c:pt>
                <c:pt idx="22">
                  <c:v>-3159</c:v>
                </c:pt>
                <c:pt idx="23">
                  <c:v>-3158.5</c:v>
                </c:pt>
                <c:pt idx="24">
                  <c:v>-3158</c:v>
                </c:pt>
                <c:pt idx="25">
                  <c:v>-3100</c:v>
                </c:pt>
                <c:pt idx="26">
                  <c:v>-3026</c:v>
                </c:pt>
                <c:pt idx="27">
                  <c:v>-3023</c:v>
                </c:pt>
                <c:pt idx="28">
                  <c:v>-3019</c:v>
                </c:pt>
                <c:pt idx="29">
                  <c:v>-2985</c:v>
                </c:pt>
                <c:pt idx="30">
                  <c:v>-2743.5</c:v>
                </c:pt>
                <c:pt idx="31">
                  <c:v>-2633</c:v>
                </c:pt>
                <c:pt idx="32">
                  <c:v>-2608</c:v>
                </c:pt>
                <c:pt idx="33">
                  <c:v>-2363</c:v>
                </c:pt>
                <c:pt idx="34">
                  <c:v>-2352</c:v>
                </c:pt>
                <c:pt idx="35">
                  <c:v>-1708</c:v>
                </c:pt>
                <c:pt idx="36">
                  <c:v>-1632</c:v>
                </c:pt>
                <c:pt idx="37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47-4231-96F8-9F59919A5C9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-3596</c:v>
                </c:pt>
                <c:pt idx="1">
                  <c:v>-3524</c:v>
                </c:pt>
                <c:pt idx="2">
                  <c:v>-3492</c:v>
                </c:pt>
                <c:pt idx="3">
                  <c:v>-3491</c:v>
                </c:pt>
                <c:pt idx="4">
                  <c:v>-3485</c:v>
                </c:pt>
                <c:pt idx="5">
                  <c:v>-3481</c:v>
                </c:pt>
                <c:pt idx="6">
                  <c:v>-3461</c:v>
                </c:pt>
                <c:pt idx="7">
                  <c:v>-3443</c:v>
                </c:pt>
                <c:pt idx="8">
                  <c:v>-3290</c:v>
                </c:pt>
                <c:pt idx="9">
                  <c:v>-3248</c:v>
                </c:pt>
                <c:pt idx="10">
                  <c:v>-3241</c:v>
                </c:pt>
                <c:pt idx="11">
                  <c:v>-3236</c:v>
                </c:pt>
                <c:pt idx="12">
                  <c:v>-3233</c:v>
                </c:pt>
                <c:pt idx="13">
                  <c:v>-3230</c:v>
                </c:pt>
                <c:pt idx="14">
                  <c:v>-3204</c:v>
                </c:pt>
                <c:pt idx="15">
                  <c:v>-3203</c:v>
                </c:pt>
                <c:pt idx="16">
                  <c:v>-3193</c:v>
                </c:pt>
                <c:pt idx="17">
                  <c:v>-3167</c:v>
                </c:pt>
                <c:pt idx="18">
                  <c:v>-3164</c:v>
                </c:pt>
                <c:pt idx="19">
                  <c:v>-3163</c:v>
                </c:pt>
                <c:pt idx="20">
                  <c:v>-3162</c:v>
                </c:pt>
                <c:pt idx="21">
                  <c:v>-3161</c:v>
                </c:pt>
                <c:pt idx="22">
                  <c:v>-3159</c:v>
                </c:pt>
                <c:pt idx="23">
                  <c:v>-3158.5</c:v>
                </c:pt>
                <c:pt idx="24">
                  <c:v>-3158</c:v>
                </c:pt>
                <c:pt idx="25">
                  <c:v>-3100</c:v>
                </c:pt>
                <c:pt idx="26">
                  <c:v>-3026</c:v>
                </c:pt>
                <c:pt idx="27">
                  <c:v>-3023</c:v>
                </c:pt>
                <c:pt idx="28">
                  <c:v>-3019</c:v>
                </c:pt>
                <c:pt idx="29">
                  <c:v>-2985</c:v>
                </c:pt>
                <c:pt idx="30">
                  <c:v>-2743.5</c:v>
                </c:pt>
                <c:pt idx="31">
                  <c:v>-2633</c:v>
                </c:pt>
                <c:pt idx="32">
                  <c:v>-2608</c:v>
                </c:pt>
                <c:pt idx="33">
                  <c:v>-2363</c:v>
                </c:pt>
                <c:pt idx="34">
                  <c:v>-2352</c:v>
                </c:pt>
                <c:pt idx="35">
                  <c:v>-1708</c:v>
                </c:pt>
                <c:pt idx="36">
                  <c:v>-1632</c:v>
                </c:pt>
                <c:pt idx="37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47-4231-96F8-9F59919A5C9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-3596</c:v>
                </c:pt>
                <c:pt idx="1">
                  <c:v>-3524</c:v>
                </c:pt>
                <c:pt idx="2">
                  <c:v>-3492</c:v>
                </c:pt>
                <c:pt idx="3">
                  <c:v>-3491</c:v>
                </c:pt>
                <c:pt idx="4">
                  <c:v>-3485</c:v>
                </c:pt>
                <c:pt idx="5">
                  <c:v>-3481</c:v>
                </c:pt>
                <c:pt idx="6">
                  <c:v>-3461</c:v>
                </c:pt>
                <c:pt idx="7">
                  <c:v>-3443</c:v>
                </c:pt>
                <c:pt idx="8">
                  <c:v>-3290</c:v>
                </c:pt>
                <c:pt idx="9">
                  <c:v>-3248</c:v>
                </c:pt>
                <c:pt idx="10">
                  <c:v>-3241</c:v>
                </c:pt>
                <c:pt idx="11">
                  <c:v>-3236</c:v>
                </c:pt>
                <c:pt idx="12">
                  <c:v>-3233</c:v>
                </c:pt>
                <c:pt idx="13">
                  <c:v>-3230</c:v>
                </c:pt>
                <c:pt idx="14">
                  <c:v>-3204</c:v>
                </c:pt>
                <c:pt idx="15">
                  <c:v>-3203</c:v>
                </c:pt>
                <c:pt idx="16">
                  <c:v>-3193</c:v>
                </c:pt>
                <c:pt idx="17">
                  <c:v>-3167</c:v>
                </c:pt>
                <c:pt idx="18">
                  <c:v>-3164</c:v>
                </c:pt>
                <c:pt idx="19">
                  <c:v>-3163</c:v>
                </c:pt>
                <c:pt idx="20">
                  <c:v>-3162</c:v>
                </c:pt>
                <c:pt idx="21">
                  <c:v>-3161</c:v>
                </c:pt>
                <c:pt idx="22">
                  <c:v>-3159</c:v>
                </c:pt>
                <c:pt idx="23">
                  <c:v>-3158.5</c:v>
                </c:pt>
                <c:pt idx="24">
                  <c:v>-3158</c:v>
                </c:pt>
                <c:pt idx="25">
                  <c:v>-3100</c:v>
                </c:pt>
                <c:pt idx="26">
                  <c:v>-3026</c:v>
                </c:pt>
                <c:pt idx="27">
                  <c:v>-3023</c:v>
                </c:pt>
                <c:pt idx="28">
                  <c:v>-3019</c:v>
                </c:pt>
                <c:pt idx="29">
                  <c:v>-2985</c:v>
                </c:pt>
                <c:pt idx="30">
                  <c:v>-2743.5</c:v>
                </c:pt>
                <c:pt idx="31">
                  <c:v>-2633</c:v>
                </c:pt>
                <c:pt idx="32">
                  <c:v>-2608</c:v>
                </c:pt>
                <c:pt idx="33">
                  <c:v>-2363</c:v>
                </c:pt>
                <c:pt idx="34">
                  <c:v>-2352</c:v>
                </c:pt>
                <c:pt idx="35">
                  <c:v>-1708</c:v>
                </c:pt>
                <c:pt idx="36">
                  <c:v>-1632</c:v>
                </c:pt>
                <c:pt idx="37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47-4231-96F8-9F59919A5C9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-3596</c:v>
                </c:pt>
                <c:pt idx="1">
                  <c:v>-3524</c:v>
                </c:pt>
                <c:pt idx="2">
                  <c:v>-3492</c:v>
                </c:pt>
                <c:pt idx="3">
                  <c:v>-3491</c:v>
                </c:pt>
                <c:pt idx="4">
                  <c:v>-3485</c:v>
                </c:pt>
                <c:pt idx="5">
                  <c:v>-3481</c:v>
                </c:pt>
                <c:pt idx="6">
                  <c:v>-3461</c:v>
                </c:pt>
                <c:pt idx="7">
                  <c:v>-3443</c:v>
                </c:pt>
                <c:pt idx="8">
                  <c:v>-3290</c:v>
                </c:pt>
                <c:pt idx="9">
                  <c:v>-3248</c:v>
                </c:pt>
                <c:pt idx="10">
                  <c:v>-3241</c:v>
                </c:pt>
                <c:pt idx="11">
                  <c:v>-3236</c:v>
                </c:pt>
                <c:pt idx="12">
                  <c:v>-3233</c:v>
                </c:pt>
                <c:pt idx="13">
                  <c:v>-3230</c:v>
                </c:pt>
                <c:pt idx="14">
                  <c:v>-3204</c:v>
                </c:pt>
                <c:pt idx="15">
                  <c:v>-3203</c:v>
                </c:pt>
                <c:pt idx="16">
                  <c:v>-3193</c:v>
                </c:pt>
                <c:pt idx="17">
                  <c:v>-3167</c:v>
                </c:pt>
                <c:pt idx="18">
                  <c:v>-3164</c:v>
                </c:pt>
                <c:pt idx="19">
                  <c:v>-3163</c:v>
                </c:pt>
                <c:pt idx="20">
                  <c:v>-3162</c:v>
                </c:pt>
                <c:pt idx="21">
                  <c:v>-3161</c:v>
                </c:pt>
                <c:pt idx="22">
                  <c:v>-3159</c:v>
                </c:pt>
                <c:pt idx="23">
                  <c:v>-3158.5</c:v>
                </c:pt>
                <c:pt idx="24">
                  <c:v>-3158</c:v>
                </c:pt>
                <c:pt idx="25">
                  <c:v>-3100</c:v>
                </c:pt>
                <c:pt idx="26">
                  <c:v>-3026</c:v>
                </c:pt>
                <c:pt idx="27">
                  <c:v>-3023</c:v>
                </c:pt>
                <c:pt idx="28">
                  <c:v>-3019</c:v>
                </c:pt>
                <c:pt idx="29">
                  <c:v>-2985</c:v>
                </c:pt>
                <c:pt idx="30">
                  <c:v>-2743.5</c:v>
                </c:pt>
                <c:pt idx="31">
                  <c:v>-2633</c:v>
                </c:pt>
                <c:pt idx="32">
                  <c:v>-2608</c:v>
                </c:pt>
                <c:pt idx="33">
                  <c:v>-2363</c:v>
                </c:pt>
                <c:pt idx="34">
                  <c:v>-2352</c:v>
                </c:pt>
                <c:pt idx="35">
                  <c:v>-1708</c:v>
                </c:pt>
                <c:pt idx="36">
                  <c:v>-1632</c:v>
                </c:pt>
                <c:pt idx="37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47-4231-96F8-9F59919A5C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-3596</c:v>
                </c:pt>
                <c:pt idx="1">
                  <c:v>-3524</c:v>
                </c:pt>
                <c:pt idx="2">
                  <c:v>-3492</c:v>
                </c:pt>
                <c:pt idx="3">
                  <c:v>-3491</c:v>
                </c:pt>
                <c:pt idx="4">
                  <c:v>-3485</c:v>
                </c:pt>
                <c:pt idx="5">
                  <c:v>-3481</c:v>
                </c:pt>
                <c:pt idx="6">
                  <c:v>-3461</c:v>
                </c:pt>
                <c:pt idx="7">
                  <c:v>-3443</c:v>
                </c:pt>
                <c:pt idx="8">
                  <c:v>-3290</c:v>
                </c:pt>
                <c:pt idx="9">
                  <c:v>-3248</c:v>
                </c:pt>
                <c:pt idx="10">
                  <c:v>-3241</c:v>
                </c:pt>
                <c:pt idx="11">
                  <c:v>-3236</c:v>
                </c:pt>
                <c:pt idx="12">
                  <c:v>-3233</c:v>
                </c:pt>
                <c:pt idx="13">
                  <c:v>-3230</c:v>
                </c:pt>
                <c:pt idx="14">
                  <c:v>-3204</c:v>
                </c:pt>
                <c:pt idx="15">
                  <c:v>-3203</c:v>
                </c:pt>
                <c:pt idx="16">
                  <c:v>-3193</c:v>
                </c:pt>
                <c:pt idx="17">
                  <c:v>-3167</c:v>
                </c:pt>
                <c:pt idx="18">
                  <c:v>-3164</c:v>
                </c:pt>
                <c:pt idx="19">
                  <c:v>-3163</c:v>
                </c:pt>
                <c:pt idx="20">
                  <c:v>-3162</c:v>
                </c:pt>
                <c:pt idx="21">
                  <c:v>-3161</c:v>
                </c:pt>
                <c:pt idx="22">
                  <c:v>-3159</c:v>
                </c:pt>
                <c:pt idx="23">
                  <c:v>-3158.5</c:v>
                </c:pt>
                <c:pt idx="24">
                  <c:v>-3158</c:v>
                </c:pt>
                <c:pt idx="25">
                  <c:v>-3100</c:v>
                </c:pt>
                <c:pt idx="26">
                  <c:v>-3026</c:v>
                </c:pt>
                <c:pt idx="27">
                  <c:v>-3023</c:v>
                </c:pt>
                <c:pt idx="28">
                  <c:v>-3019</c:v>
                </c:pt>
                <c:pt idx="29">
                  <c:v>-2985</c:v>
                </c:pt>
                <c:pt idx="30">
                  <c:v>-2743.5</c:v>
                </c:pt>
                <c:pt idx="31">
                  <c:v>-2633</c:v>
                </c:pt>
                <c:pt idx="32">
                  <c:v>-2608</c:v>
                </c:pt>
                <c:pt idx="33">
                  <c:v>-2363</c:v>
                </c:pt>
                <c:pt idx="34">
                  <c:v>-2352</c:v>
                </c:pt>
                <c:pt idx="35">
                  <c:v>-1708</c:v>
                </c:pt>
                <c:pt idx="36">
                  <c:v>-1632</c:v>
                </c:pt>
                <c:pt idx="37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47-4231-96F8-9F59919A5C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-3596</c:v>
                </c:pt>
                <c:pt idx="1">
                  <c:v>-3524</c:v>
                </c:pt>
                <c:pt idx="2">
                  <c:v>-3492</c:v>
                </c:pt>
                <c:pt idx="3">
                  <c:v>-3491</c:v>
                </c:pt>
                <c:pt idx="4">
                  <c:v>-3485</c:v>
                </c:pt>
                <c:pt idx="5">
                  <c:v>-3481</c:v>
                </c:pt>
                <c:pt idx="6">
                  <c:v>-3461</c:v>
                </c:pt>
                <c:pt idx="7">
                  <c:v>-3443</c:v>
                </c:pt>
                <c:pt idx="8">
                  <c:v>-3290</c:v>
                </c:pt>
                <c:pt idx="9">
                  <c:v>-3248</c:v>
                </c:pt>
                <c:pt idx="10">
                  <c:v>-3241</c:v>
                </c:pt>
                <c:pt idx="11">
                  <c:v>-3236</c:v>
                </c:pt>
                <c:pt idx="12">
                  <c:v>-3233</c:v>
                </c:pt>
                <c:pt idx="13">
                  <c:v>-3230</c:v>
                </c:pt>
                <c:pt idx="14">
                  <c:v>-3204</c:v>
                </c:pt>
                <c:pt idx="15">
                  <c:v>-3203</c:v>
                </c:pt>
                <c:pt idx="16">
                  <c:v>-3193</c:v>
                </c:pt>
                <c:pt idx="17">
                  <c:v>-3167</c:v>
                </c:pt>
                <c:pt idx="18">
                  <c:v>-3164</c:v>
                </c:pt>
                <c:pt idx="19">
                  <c:v>-3163</c:v>
                </c:pt>
                <c:pt idx="20">
                  <c:v>-3162</c:v>
                </c:pt>
                <c:pt idx="21">
                  <c:v>-3161</c:v>
                </c:pt>
                <c:pt idx="22">
                  <c:v>-3159</c:v>
                </c:pt>
                <c:pt idx="23">
                  <c:v>-3158.5</c:v>
                </c:pt>
                <c:pt idx="24">
                  <c:v>-3158</c:v>
                </c:pt>
                <c:pt idx="25">
                  <c:v>-3100</c:v>
                </c:pt>
                <c:pt idx="26">
                  <c:v>-3026</c:v>
                </c:pt>
                <c:pt idx="27">
                  <c:v>-3023</c:v>
                </c:pt>
                <c:pt idx="28">
                  <c:v>-3019</c:v>
                </c:pt>
                <c:pt idx="29">
                  <c:v>-2985</c:v>
                </c:pt>
                <c:pt idx="30">
                  <c:v>-2743.5</c:v>
                </c:pt>
                <c:pt idx="31">
                  <c:v>-2633</c:v>
                </c:pt>
                <c:pt idx="32">
                  <c:v>-2608</c:v>
                </c:pt>
                <c:pt idx="33">
                  <c:v>-2363</c:v>
                </c:pt>
                <c:pt idx="34">
                  <c:v>-2352</c:v>
                </c:pt>
                <c:pt idx="35">
                  <c:v>-1708</c:v>
                </c:pt>
                <c:pt idx="36">
                  <c:v>-1632</c:v>
                </c:pt>
                <c:pt idx="37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-0.1445605395195923</c:v>
                </c:pt>
                <c:pt idx="1">
                  <c:v>-0.13792745384398281</c:v>
                </c:pt>
                <c:pt idx="2">
                  <c:v>-0.13497941576593414</c:v>
                </c:pt>
                <c:pt idx="3">
                  <c:v>-0.13488728957599511</c:v>
                </c:pt>
                <c:pt idx="4">
                  <c:v>-0.13433453243636101</c:v>
                </c:pt>
                <c:pt idx="5">
                  <c:v>-0.13396602767660493</c:v>
                </c:pt>
                <c:pt idx="6">
                  <c:v>-0.13212350387782451</c:v>
                </c:pt>
                <c:pt idx="7">
                  <c:v>-0.13046523245892216</c:v>
                </c:pt>
                <c:pt idx="8">
                  <c:v>-0.11636992539825203</c:v>
                </c:pt>
                <c:pt idx="9">
                  <c:v>-0.11250062542081318</c:v>
                </c:pt>
                <c:pt idx="10">
                  <c:v>-0.11185574209124</c:v>
                </c:pt>
                <c:pt idx="11">
                  <c:v>-0.11139511114154493</c:v>
                </c:pt>
                <c:pt idx="12">
                  <c:v>-0.11111873257172783</c:v>
                </c:pt>
                <c:pt idx="13">
                  <c:v>-0.11084235400191078</c:v>
                </c:pt>
                <c:pt idx="14">
                  <c:v>-0.10844707306349627</c:v>
                </c:pt>
                <c:pt idx="15">
                  <c:v>-0.10835494687355723</c:v>
                </c:pt>
                <c:pt idx="16">
                  <c:v>-0.10743368497416705</c:v>
                </c:pt>
                <c:pt idx="17">
                  <c:v>-0.10503840403575249</c:v>
                </c:pt>
                <c:pt idx="18">
                  <c:v>-0.10476202546593544</c:v>
                </c:pt>
                <c:pt idx="19">
                  <c:v>-0.1046698992759964</c:v>
                </c:pt>
                <c:pt idx="20">
                  <c:v>-0.10457777308605742</c:v>
                </c:pt>
                <c:pt idx="21">
                  <c:v>-0.10448564689611839</c:v>
                </c:pt>
                <c:pt idx="22">
                  <c:v>-0.10430139451624032</c:v>
                </c:pt>
                <c:pt idx="23">
                  <c:v>-0.1042553314212708</c:v>
                </c:pt>
                <c:pt idx="24">
                  <c:v>-0.10420926832630134</c:v>
                </c:pt>
                <c:pt idx="25">
                  <c:v>-9.8865949309838108E-2</c:v>
                </c:pt>
                <c:pt idx="26">
                  <c:v>-9.2048611254350599E-2</c:v>
                </c:pt>
                <c:pt idx="27">
                  <c:v>-9.177223268453355E-2</c:v>
                </c:pt>
                <c:pt idx="28">
                  <c:v>-9.1403727924777467E-2</c:v>
                </c:pt>
                <c:pt idx="29">
                  <c:v>-8.8271437466850788E-2</c:v>
                </c:pt>
                <c:pt idx="30">
                  <c:v>-6.6022962596577306E-2</c:v>
                </c:pt>
                <c:pt idx="31">
                  <c:v>-5.5843018608315559E-2</c:v>
                </c:pt>
                <c:pt idx="32">
                  <c:v>-5.3539863859840053E-2</c:v>
                </c:pt>
                <c:pt idx="33">
                  <c:v>-3.0968947324780033E-2</c:v>
                </c:pt>
                <c:pt idx="34">
                  <c:v>-2.9955559235450818E-2</c:v>
                </c:pt>
                <c:pt idx="35">
                  <c:v>2.9373707085278367E-2</c:v>
                </c:pt>
                <c:pt idx="36">
                  <c:v>3.6375297520643946E-2</c:v>
                </c:pt>
                <c:pt idx="37">
                  <c:v>0.18672523950112535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47-4231-96F8-9F59919A5C9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-3596</c:v>
                </c:pt>
                <c:pt idx="1">
                  <c:v>-3524</c:v>
                </c:pt>
                <c:pt idx="2">
                  <c:v>-3492</c:v>
                </c:pt>
                <c:pt idx="3">
                  <c:v>-3491</c:v>
                </c:pt>
                <c:pt idx="4">
                  <c:v>-3485</c:v>
                </c:pt>
                <c:pt idx="5">
                  <c:v>-3481</c:v>
                </c:pt>
                <c:pt idx="6">
                  <c:v>-3461</c:v>
                </c:pt>
                <c:pt idx="7">
                  <c:v>-3443</c:v>
                </c:pt>
                <c:pt idx="8">
                  <c:v>-3290</c:v>
                </c:pt>
                <c:pt idx="9">
                  <c:v>-3248</c:v>
                </c:pt>
                <c:pt idx="10">
                  <c:v>-3241</c:v>
                </c:pt>
                <c:pt idx="11">
                  <c:v>-3236</c:v>
                </c:pt>
                <c:pt idx="12">
                  <c:v>-3233</c:v>
                </c:pt>
                <c:pt idx="13">
                  <c:v>-3230</c:v>
                </c:pt>
                <c:pt idx="14">
                  <c:v>-3204</c:v>
                </c:pt>
                <c:pt idx="15">
                  <c:v>-3203</c:v>
                </c:pt>
                <c:pt idx="16">
                  <c:v>-3193</c:v>
                </c:pt>
                <c:pt idx="17">
                  <c:v>-3167</c:v>
                </c:pt>
                <c:pt idx="18">
                  <c:v>-3164</c:v>
                </c:pt>
                <c:pt idx="19">
                  <c:v>-3163</c:v>
                </c:pt>
                <c:pt idx="20">
                  <c:v>-3162</c:v>
                </c:pt>
                <c:pt idx="21">
                  <c:v>-3161</c:v>
                </c:pt>
                <c:pt idx="22">
                  <c:v>-3159</c:v>
                </c:pt>
                <c:pt idx="23">
                  <c:v>-3158.5</c:v>
                </c:pt>
                <c:pt idx="24">
                  <c:v>-3158</c:v>
                </c:pt>
                <c:pt idx="25">
                  <c:v>-3100</c:v>
                </c:pt>
                <c:pt idx="26">
                  <c:v>-3026</c:v>
                </c:pt>
                <c:pt idx="27">
                  <c:v>-3023</c:v>
                </c:pt>
                <c:pt idx="28">
                  <c:v>-3019</c:v>
                </c:pt>
                <c:pt idx="29">
                  <c:v>-2985</c:v>
                </c:pt>
                <c:pt idx="30">
                  <c:v>-2743.5</c:v>
                </c:pt>
                <c:pt idx="31">
                  <c:v>-2633</c:v>
                </c:pt>
                <c:pt idx="32">
                  <c:v>-2608</c:v>
                </c:pt>
                <c:pt idx="33">
                  <c:v>-2363</c:v>
                </c:pt>
                <c:pt idx="34">
                  <c:v>-2352</c:v>
                </c:pt>
                <c:pt idx="35">
                  <c:v>-1708</c:v>
                </c:pt>
                <c:pt idx="36">
                  <c:v>-1632</c:v>
                </c:pt>
                <c:pt idx="37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47-4231-96F8-9F59919A5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068656"/>
        <c:axId val="1"/>
      </c:scatterChart>
      <c:valAx>
        <c:axId val="716068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068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17</xdr:col>
      <xdr:colOff>57150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8716187-F72D-37AD-093B-E6FB99830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7.pdf" TargetMode="External"/><Relationship Id="rId2" Type="http://schemas.openxmlformats.org/officeDocument/2006/relationships/hyperlink" Target="http://vsolj.cetus-net.org/no47.pdf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s="29" customFormat="1" ht="20.25" x14ac:dyDescent="0.2">
      <c r="A1" s="28" t="s">
        <v>52</v>
      </c>
      <c r="F1" s="21" t="s">
        <v>49</v>
      </c>
      <c r="G1" s="22">
        <v>18.24335</v>
      </c>
      <c r="H1" s="23">
        <v>-13.391299999999999</v>
      </c>
      <c r="I1" s="6">
        <v>52503.199999999997</v>
      </c>
      <c r="J1" s="6">
        <v>10.27022</v>
      </c>
      <c r="K1" s="24" t="s">
        <v>50</v>
      </c>
      <c r="L1" s="5"/>
      <c r="M1" s="6">
        <v>52503.199999999997</v>
      </c>
      <c r="N1" s="6">
        <v>10.27022</v>
      </c>
      <c r="O1" s="7" t="s">
        <v>50</v>
      </c>
    </row>
    <row r="2" spans="1:15" s="29" customFormat="1" ht="12.95" customHeight="1" x14ac:dyDescent="0.2">
      <c r="A2" s="29" t="s">
        <v>23</v>
      </c>
      <c r="B2" s="29" t="s">
        <v>50</v>
      </c>
      <c r="C2" s="30"/>
      <c r="D2" s="31"/>
    </row>
    <row r="3" spans="1:15" s="29" customFormat="1" ht="12.95" customHeight="1" thickBot="1" x14ac:dyDescent="0.25"/>
    <row r="4" spans="1:15" s="29" customFormat="1" ht="12.95" customHeight="1" thickTop="1" thickBot="1" x14ac:dyDescent="0.25">
      <c r="A4" s="32" t="s">
        <v>0</v>
      </c>
      <c r="C4" s="33">
        <v>20665.47</v>
      </c>
      <c r="D4" s="34">
        <v>10.270300000000001</v>
      </c>
    </row>
    <row r="5" spans="1:15" s="29" customFormat="1" ht="12.95" customHeight="1" thickTop="1" x14ac:dyDescent="0.2">
      <c r="A5" s="35" t="s">
        <v>28</v>
      </c>
      <c r="C5" s="36">
        <v>-9.5</v>
      </c>
      <c r="D5" s="29" t="s">
        <v>29</v>
      </c>
    </row>
    <row r="6" spans="1:15" s="29" customFormat="1" ht="12.95" customHeight="1" x14ac:dyDescent="0.2">
      <c r="A6" s="32" t="s">
        <v>1</v>
      </c>
    </row>
    <row r="7" spans="1:15" s="29" customFormat="1" ht="12.95" customHeight="1" x14ac:dyDescent="0.2">
      <c r="A7" s="29" t="s">
        <v>2</v>
      </c>
      <c r="C7" s="60">
        <v>52503.199999999997</v>
      </c>
      <c r="D7" s="38" t="s">
        <v>51</v>
      </c>
    </row>
    <row r="8" spans="1:15" s="29" customFormat="1" ht="12.95" customHeight="1" x14ac:dyDescent="0.2">
      <c r="A8" s="29" t="s">
        <v>3</v>
      </c>
      <c r="C8" s="60">
        <v>10.27022</v>
      </c>
      <c r="D8" s="38" t="s">
        <v>51</v>
      </c>
    </row>
    <row r="9" spans="1:15" s="29" customFormat="1" ht="12.95" customHeight="1" x14ac:dyDescent="0.2">
      <c r="A9" s="39" t="s">
        <v>32</v>
      </c>
      <c r="C9" s="40">
        <v>21</v>
      </c>
      <c r="D9" s="41" t="str">
        <f>"F"&amp;C9</f>
        <v>F21</v>
      </c>
      <c r="E9" s="42" t="str">
        <f>"G"&amp;C9</f>
        <v>G21</v>
      </c>
    </row>
    <row r="10" spans="1:15" s="29" customFormat="1" ht="12.95" customHeight="1" thickBot="1" x14ac:dyDescent="0.25">
      <c r="C10" s="43" t="s">
        <v>19</v>
      </c>
      <c r="D10" s="43" t="s">
        <v>20</v>
      </c>
    </row>
    <row r="11" spans="1:15" s="29" customFormat="1" ht="12.95" customHeight="1" x14ac:dyDescent="0.2">
      <c r="A11" s="29" t="s">
        <v>15</v>
      </c>
      <c r="C11" s="42">
        <f ca="1">INTERCEPT(INDIRECT($E$9):G992,INDIRECT($D$9):F992)</f>
        <v>0.18672523950112535</v>
      </c>
      <c r="D11" s="31"/>
    </row>
    <row r="12" spans="1:15" s="29" customFormat="1" ht="12.95" customHeight="1" x14ac:dyDescent="0.2">
      <c r="A12" s="29" t="s">
        <v>16</v>
      </c>
      <c r="C12" s="42">
        <f ca="1">SLOPE(INDIRECT($E$9):G992,INDIRECT($D$9):F992)</f>
        <v>9.2126189939020477E-5</v>
      </c>
      <c r="D12" s="31"/>
    </row>
    <row r="13" spans="1:15" s="29" customFormat="1" ht="12.95" customHeight="1" x14ac:dyDescent="0.2">
      <c r="A13" s="29" t="s">
        <v>18</v>
      </c>
      <c r="C13" s="31" t="s">
        <v>13</v>
      </c>
    </row>
    <row r="14" spans="1:15" s="29" customFormat="1" ht="12.95" customHeight="1" x14ac:dyDescent="0.2"/>
    <row r="15" spans="1:15" s="29" customFormat="1" ht="12.95" customHeight="1" x14ac:dyDescent="0.2">
      <c r="A15" s="44" t="s">
        <v>17</v>
      </c>
      <c r="C15" s="45">
        <f ca="1">(C7+C11)+(C8+C12)*INT(MAX(F21:F3533))</f>
        <v>52503.386725239499</v>
      </c>
      <c r="E15" s="46" t="s">
        <v>34</v>
      </c>
      <c r="F15" s="47">
        <v>1</v>
      </c>
    </row>
    <row r="16" spans="1:15" s="29" customFormat="1" ht="12.95" customHeight="1" x14ac:dyDescent="0.2">
      <c r="A16" s="32" t="s">
        <v>4</v>
      </c>
      <c r="C16" s="48">
        <f ca="1">+C8+C12</f>
        <v>10.270312126189939</v>
      </c>
      <c r="E16" s="46" t="s">
        <v>30</v>
      </c>
      <c r="F16" s="48">
        <f ca="1">NOW()+15018.5+$C$5/24</f>
        <v>60374.81135358796</v>
      </c>
    </row>
    <row r="17" spans="1:18" s="29" customFormat="1" ht="12.95" customHeight="1" thickBot="1" x14ac:dyDescent="0.25">
      <c r="A17" s="46" t="s">
        <v>27</v>
      </c>
      <c r="C17" s="29">
        <f>COUNT(C21:C2191)</f>
        <v>38</v>
      </c>
      <c r="E17" s="46" t="s">
        <v>35</v>
      </c>
      <c r="F17" s="49">
        <f ca="1">ROUND(2*(F16-$C$7)/$C$8,0)/2+F15</f>
        <v>767.5</v>
      </c>
    </row>
    <row r="18" spans="1:18" s="29" customFormat="1" ht="12.95" customHeight="1" thickTop="1" thickBot="1" x14ac:dyDescent="0.25">
      <c r="A18" s="32" t="s">
        <v>5</v>
      </c>
      <c r="C18" s="50">
        <f ca="1">+C15</f>
        <v>52503.386725239499</v>
      </c>
      <c r="D18" s="51">
        <f ca="1">+C16</f>
        <v>10.270312126189939</v>
      </c>
      <c r="E18" s="46" t="s">
        <v>36</v>
      </c>
      <c r="F18" s="42">
        <f ca="1">ROUND(2*(F16-$C$15)/$C$16,0)/2+F15</f>
        <v>767.5</v>
      </c>
    </row>
    <row r="19" spans="1:18" s="29" customFormat="1" ht="12.95" customHeight="1" thickTop="1" x14ac:dyDescent="0.2">
      <c r="E19" s="46" t="s">
        <v>31</v>
      </c>
      <c r="F19" s="52">
        <f ca="1">+$C$15+$C$16*F18-15018.5-$C$5/24</f>
        <v>45367.747115423612</v>
      </c>
    </row>
    <row r="20" spans="1:18" s="29" customFormat="1" ht="12.95" customHeight="1" thickBot="1" x14ac:dyDescent="0.25">
      <c r="A20" s="43" t="s">
        <v>6</v>
      </c>
      <c r="B20" s="43" t="s">
        <v>7</v>
      </c>
      <c r="C20" s="43" t="s">
        <v>8</v>
      </c>
      <c r="D20" s="43" t="s">
        <v>12</v>
      </c>
      <c r="E20" s="43" t="s">
        <v>9</v>
      </c>
      <c r="F20" s="43" t="s">
        <v>10</v>
      </c>
      <c r="G20" s="43" t="s">
        <v>11</v>
      </c>
      <c r="H20" s="53" t="s">
        <v>37</v>
      </c>
      <c r="I20" s="53" t="s">
        <v>38</v>
      </c>
      <c r="J20" s="53" t="s">
        <v>39</v>
      </c>
      <c r="K20" s="53" t="s">
        <v>40</v>
      </c>
      <c r="L20" s="53" t="s">
        <v>24</v>
      </c>
      <c r="M20" s="53" t="s">
        <v>25</v>
      </c>
      <c r="N20" s="53" t="s">
        <v>26</v>
      </c>
      <c r="O20" s="53" t="s">
        <v>22</v>
      </c>
      <c r="P20" s="54" t="s">
        <v>21</v>
      </c>
      <c r="Q20" s="43" t="s">
        <v>14</v>
      </c>
      <c r="R20" s="55" t="s">
        <v>33</v>
      </c>
    </row>
    <row r="21" spans="1:18" s="29" customFormat="1" ht="12.95" customHeight="1" x14ac:dyDescent="0.2">
      <c r="A21" s="56" t="s">
        <v>58</v>
      </c>
      <c r="B21" s="57" t="s">
        <v>181</v>
      </c>
      <c r="C21" s="58">
        <v>15571.63</v>
      </c>
      <c r="D21" s="37"/>
      <c r="E21" s="29">
        <f t="shared" ref="E21:E58" si="0">+(C21-C$7)/C$8</f>
        <v>-3595.986259301164</v>
      </c>
      <c r="F21" s="29">
        <f t="shared" ref="F21:F58" si="1">ROUND(2*E21,0)/2</f>
        <v>-3596</v>
      </c>
      <c r="G21" s="29">
        <f t="shared" ref="G21:G58" si="2">+C21-(C$7+F21*C$8)</f>
        <v>0.14112000000204716</v>
      </c>
      <c r="H21" s="29">
        <f t="shared" ref="H21:H58" si="3">+G21</f>
        <v>0.14112000000204716</v>
      </c>
      <c r="O21" s="29">
        <f t="shared" ref="O21:O58" ca="1" si="4">+C$11+C$12*$F21</f>
        <v>-0.1445605395195923</v>
      </c>
      <c r="Q21" s="59">
        <f t="shared" ref="Q21:Q58" si="5">+C21-15018.5</f>
        <v>553.1299999999992</v>
      </c>
    </row>
    <row r="22" spans="1:18" s="29" customFormat="1" ht="12.95" customHeight="1" x14ac:dyDescent="0.2">
      <c r="A22" s="56" t="s">
        <v>58</v>
      </c>
      <c r="B22" s="57" t="s">
        <v>181</v>
      </c>
      <c r="C22" s="58">
        <v>16310.71</v>
      </c>
      <c r="D22" s="37"/>
      <c r="E22" s="29">
        <f t="shared" si="0"/>
        <v>-3524.0228544276556</v>
      </c>
      <c r="F22" s="29">
        <f t="shared" si="1"/>
        <v>-3524</v>
      </c>
      <c r="G22" s="29">
        <f t="shared" si="2"/>
        <v>-0.23472000000037951</v>
      </c>
      <c r="H22" s="29">
        <f t="shared" si="3"/>
        <v>-0.23472000000037951</v>
      </c>
      <c r="O22" s="29">
        <f t="shared" ca="1" si="4"/>
        <v>-0.13792745384398281</v>
      </c>
      <c r="Q22" s="59">
        <f t="shared" si="5"/>
        <v>1292.2099999999991</v>
      </c>
    </row>
    <row r="23" spans="1:18" ht="12.95" customHeight="1" x14ac:dyDescent="0.2">
      <c r="A23" s="25" t="s">
        <v>58</v>
      </c>
      <c r="B23" s="27" t="s">
        <v>181</v>
      </c>
      <c r="C23" s="26">
        <v>16639.71</v>
      </c>
      <c r="D23" s="3"/>
      <c r="E23">
        <f t="shared" si="0"/>
        <v>-3491.988487101542</v>
      </c>
      <c r="F23">
        <f t="shared" si="1"/>
        <v>-3492</v>
      </c>
      <c r="G23">
        <f t="shared" si="2"/>
        <v>0.11824000000342494</v>
      </c>
      <c r="H23">
        <f t="shared" si="3"/>
        <v>0.11824000000342494</v>
      </c>
      <c r="O23">
        <f t="shared" ca="1" si="4"/>
        <v>-0.13497941576593414</v>
      </c>
      <c r="Q23" s="1">
        <f t="shared" si="5"/>
        <v>1621.2099999999991</v>
      </c>
    </row>
    <row r="24" spans="1:18" ht="12.95" customHeight="1" x14ac:dyDescent="0.2">
      <c r="A24" s="25" t="s">
        <v>58</v>
      </c>
      <c r="B24" s="27" t="s">
        <v>181</v>
      </c>
      <c r="C24" s="26">
        <v>16649.71</v>
      </c>
      <c r="D24" s="3"/>
      <c r="E24">
        <f t="shared" si="0"/>
        <v>-3491.0147981250643</v>
      </c>
      <c r="F24">
        <f t="shared" si="1"/>
        <v>-3491</v>
      </c>
      <c r="G24">
        <f t="shared" si="2"/>
        <v>-0.15197999999509193</v>
      </c>
      <c r="H24">
        <f t="shared" si="3"/>
        <v>-0.15197999999509193</v>
      </c>
      <c r="O24">
        <f t="shared" ca="1" si="4"/>
        <v>-0.13488728957599511</v>
      </c>
      <c r="Q24" s="1">
        <f t="shared" si="5"/>
        <v>1631.2099999999991</v>
      </c>
    </row>
    <row r="25" spans="1:18" ht="12.95" customHeight="1" x14ac:dyDescent="0.2">
      <c r="A25" s="25" t="s">
        <v>58</v>
      </c>
      <c r="B25" s="27" t="s">
        <v>181</v>
      </c>
      <c r="C25" s="26">
        <v>16711.63</v>
      </c>
      <c r="D25" s="3"/>
      <c r="E25">
        <f t="shared" si="0"/>
        <v>-3484.9857159827143</v>
      </c>
      <c r="F25">
        <f t="shared" si="1"/>
        <v>-3485</v>
      </c>
      <c r="G25">
        <f t="shared" si="2"/>
        <v>0.14670000000114669</v>
      </c>
      <c r="H25">
        <f t="shared" si="3"/>
        <v>0.14670000000114669</v>
      </c>
      <c r="O25">
        <f t="shared" ca="1" si="4"/>
        <v>-0.13433453243636101</v>
      </c>
      <c r="Q25" s="1">
        <f t="shared" si="5"/>
        <v>1693.130000000001</v>
      </c>
    </row>
    <row r="26" spans="1:18" ht="12.95" customHeight="1" x14ac:dyDescent="0.2">
      <c r="A26" s="25" t="s">
        <v>58</v>
      </c>
      <c r="B26" s="27" t="s">
        <v>181</v>
      </c>
      <c r="C26" s="26">
        <v>16752.54</v>
      </c>
      <c r="D26" s="3"/>
      <c r="E26">
        <f t="shared" si="0"/>
        <v>-3481.0023543799448</v>
      </c>
      <c r="F26">
        <f t="shared" si="1"/>
        <v>-3481</v>
      </c>
      <c r="G26">
        <f t="shared" si="2"/>
        <v>-2.4179999993066303E-2</v>
      </c>
      <c r="H26">
        <f t="shared" si="3"/>
        <v>-2.4179999993066303E-2</v>
      </c>
      <c r="O26">
        <f t="shared" ca="1" si="4"/>
        <v>-0.13396602767660493</v>
      </c>
      <c r="Q26" s="1">
        <f t="shared" si="5"/>
        <v>1734.0400000000009</v>
      </c>
    </row>
    <row r="27" spans="1:18" ht="12.95" customHeight="1" x14ac:dyDescent="0.2">
      <c r="A27" s="25" t="s">
        <v>58</v>
      </c>
      <c r="B27" s="27" t="s">
        <v>181</v>
      </c>
      <c r="C27" s="26">
        <v>16957.830000000002</v>
      </c>
      <c r="D27" s="3"/>
      <c r="E27">
        <f t="shared" si="0"/>
        <v>-3461.0134933818354</v>
      </c>
      <c r="F27">
        <f t="shared" si="1"/>
        <v>-3461</v>
      </c>
      <c r="G27">
        <f t="shared" si="2"/>
        <v>-0.13857999999163439</v>
      </c>
      <c r="H27">
        <f t="shared" si="3"/>
        <v>-0.13857999999163439</v>
      </c>
      <c r="O27">
        <f t="shared" ca="1" si="4"/>
        <v>-0.13212350387782451</v>
      </c>
      <c r="Q27" s="1">
        <f t="shared" si="5"/>
        <v>1939.3300000000017</v>
      </c>
    </row>
    <row r="28" spans="1:18" ht="12.95" customHeight="1" x14ac:dyDescent="0.2">
      <c r="A28" s="25" t="s">
        <v>58</v>
      </c>
      <c r="B28" s="27" t="s">
        <v>181</v>
      </c>
      <c r="C28" s="26">
        <v>17140.46</v>
      </c>
      <c r="D28" s="3"/>
      <c r="E28">
        <f t="shared" si="0"/>
        <v>-3443.231011604425</v>
      </c>
      <c r="F28">
        <f t="shared" si="1"/>
        <v>-3443</v>
      </c>
      <c r="G28">
        <f t="shared" si="2"/>
        <v>-2.3725399999966612</v>
      </c>
      <c r="H28">
        <f t="shared" si="3"/>
        <v>-2.3725399999966612</v>
      </c>
      <c r="O28">
        <f t="shared" ca="1" si="4"/>
        <v>-0.13046523245892216</v>
      </c>
      <c r="Q28" s="1">
        <f t="shared" si="5"/>
        <v>2121.9599999999991</v>
      </c>
    </row>
    <row r="29" spans="1:18" ht="12.95" customHeight="1" x14ac:dyDescent="0.2">
      <c r="A29" s="25" t="s">
        <v>84</v>
      </c>
      <c r="B29" s="27" t="s">
        <v>181</v>
      </c>
      <c r="C29" s="26">
        <v>18714.32</v>
      </c>
      <c r="D29" s="3"/>
      <c r="E29">
        <f t="shared" si="0"/>
        <v>-3289.985998352518</v>
      </c>
      <c r="F29">
        <f t="shared" si="1"/>
        <v>-3290</v>
      </c>
      <c r="G29">
        <f t="shared" si="2"/>
        <v>0.14380000000528526</v>
      </c>
      <c r="H29">
        <f t="shared" si="3"/>
        <v>0.14380000000528526</v>
      </c>
      <c r="O29">
        <f t="shared" ca="1" si="4"/>
        <v>-0.11636992539825203</v>
      </c>
      <c r="Q29" s="1">
        <f t="shared" si="5"/>
        <v>3695.8199999999997</v>
      </c>
    </row>
    <row r="30" spans="1:18" ht="12.95" customHeight="1" x14ac:dyDescent="0.2">
      <c r="A30" s="25" t="s">
        <v>84</v>
      </c>
      <c r="B30" s="27" t="s">
        <v>181</v>
      </c>
      <c r="C30" s="26">
        <v>19145.187000000002</v>
      </c>
      <c r="D30" s="3"/>
      <c r="E30">
        <f t="shared" si="0"/>
        <v>-3248.0329535297192</v>
      </c>
      <c r="F30">
        <f t="shared" si="1"/>
        <v>-3248</v>
      </c>
      <c r="G30">
        <f t="shared" si="2"/>
        <v>-0.33843999999589869</v>
      </c>
      <c r="H30">
        <f t="shared" si="3"/>
        <v>-0.33843999999589869</v>
      </c>
      <c r="O30">
        <f t="shared" ca="1" si="4"/>
        <v>-0.11250062542081318</v>
      </c>
      <c r="Q30" s="1">
        <f t="shared" si="5"/>
        <v>4126.6870000000017</v>
      </c>
    </row>
    <row r="31" spans="1:18" ht="12.95" customHeight="1" x14ac:dyDescent="0.2">
      <c r="A31" s="25" t="s">
        <v>92</v>
      </c>
      <c r="B31" s="27" t="s">
        <v>181</v>
      </c>
      <c r="C31" s="26">
        <v>19217.48</v>
      </c>
      <c r="D31" s="3"/>
      <c r="E31">
        <f t="shared" si="0"/>
        <v>-3240.9938638120702</v>
      </c>
      <c r="F31">
        <f t="shared" si="1"/>
        <v>-3241</v>
      </c>
      <c r="G31">
        <f t="shared" si="2"/>
        <v>6.3020000005053589E-2</v>
      </c>
      <c r="H31">
        <f t="shared" si="3"/>
        <v>6.3020000005053589E-2</v>
      </c>
      <c r="O31">
        <f t="shared" ca="1" si="4"/>
        <v>-0.11185574209124</v>
      </c>
      <c r="Q31" s="1">
        <f t="shared" si="5"/>
        <v>4198.9799999999996</v>
      </c>
    </row>
    <row r="32" spans="1:18" x14ac:dyDescent="0.2">
      <c r="A32" s="25" t="s">
        <v>92</v>
      </c>
      <c r="B32" s="27" t="s">
        <v>181</v>
      </c>
      <c r="C32" s="26">
        <v>19268.5</v>
      </c>
      <c r="D32" s="3"/>
      <c r="E32">
        <f t="shared" si="0"/>
        <v>-3236.0261026540811</v>
      </c>
      <c r="F32">
        <f t="shared" si="1"/>
        <v>-3236</v>
      </c>
      <c r="G32">
        <f t="shared" si="2"/>
        <v>-0.26807999999437016</v>
      </c>
      <c r="H32">
        <f t="shared" si="3"/>
        <v>-0.26807999999437016</v>
      </c>
      <c r="O32">
        <f t="shared" ca="1" si="4"/>
        <v>-0.11139511114154493</v>
      </c>
      <c r="Q32" s="1">
        <f t="shared" si="5"/>
        <v>4250</v>
      </c>
    </row>
    <row r="33" spans="1:17" x14ac:dyDescent="0.2">
      <c r="A33" s="25" t="s">
        <v>92</v>
      </c>
      <c r="B33" s="27" t="s">
        <v>181</v>
      </c>
      <c r="C33" s="26">
        <v>19299.36</v>
      </c>
      <c r="D33" s="3"/>
      <c r="E33">
        <f t="shared" si="0"/>
        <v>-3233.0212984726709</v>
      </c>
      <c r="F33">
        <f t="shared" si="1"/>
        <v>-3233</v>
      </c>
      <c r="G33">
        <f t="shared" si="2"/>
        <v>-0.21873999999661464</v>
      </c>
      <c r="H33">
        <f t="shared" si="3"/>
        <v>-0.21873999999661464</v>
      </c>
      <c r="O33">
        <f t="shared" ca="1" si="4"/>
        <v>-0.11111873257172783</v>
      </c>
      <c r="Q33" s="1">
        <f t="shared" si="5"/>
        <v>4280.8600000000006</v>
      </c>
    </row>
    <row r="34" spans="1:17" x14ac:dyDescent="0.2">
      <c r="A34" s="25" t="s">
        <v>92</v>
      </c>
      <c r="B34" s="27" t="s">
        <v>181</v>
      </c>
      <c r="C34" s="26">
        <v>19330.3</v>
      </c>
      <c r="D34" s="3"/>
      <c r="E34">
        <f t="shared" si="0"/>
        <v>-3230.0087047794491</v>
      </c>
      <c r="F34">
        <f t="shared" si="1"/>
        <v>-3230</v>
      </c>
      <c r="G34">
        <f t="shared" si="2"/>
        <v>-8.9400000000750879E-2</v>
      </c>
      <c r="H34">
        <f t="shared" si="3"/>
        <v>-8.9400000000750879E-2</v>
      </c>
      <c r="O34">
        <f t="shared" ca="1" si="4"/>
        <v>-0.11084235400191078</v>
      </c>
      <c r="Q34" s="1">
        <f t="shared" si="5"/>
        <v>4311.7999999999993</v>
      </c>
    </row>
    <row r="35" spans="1:17" x14ac:dyDescent="0.2">
      <c r="A35" s="25" t="s">
        <v>92</v>
      </c>
      <c r="B35" s="27" t="s">
        <v>181</v>
      </c>
      <c r="C35" s="26">
        <v>19597.47</v>
      </c>
      <c r="D35" s="3"/>
      <c r="E35">
        <f t="shared" si="0"/>
        <v>-3203.9946563948965</v>
      </c>
      <c r="F35">
        <f t="shared" si="1"/>
        <v>-3204</v>
      </c>
      <c r="G35">
        <f t="shared" si="2"/>
        <v>5.4880000003322493E-2</v>
      </c>
      <c r="H35">
        <f t="shared" si="3"/>
        <v>5.4880000003322493E-2</v>
      </c>
      <c r="O35">
        <f t="shared" ca="1" si="4"/>
        <v>-0.10844707306349627</v>
      </c>
      <c r="Q35" s="1">
        <f t="shared" si="5"/>
        <v>4578.9700000000012</v>
      </c>
    </row>
    <row r="36" spans="1:17" x14ac:dyDescent="0.2">
      <c r="A36" s="25" t="s">
        <v>92</v>
      </c>
      <c r="B36" s="27" t="s">
        <v>181</v>
      </c>
      <c r="C36" s="26">
        <v>19607.490000000002</v>
      </c>
      <c r="D36" s="3"/>
      <c r="E36">
        <f t="shared" si="0"/>
        <v>-3203.0190200404659</v>
      </c>
      <c r="F36">
        <f t="shared" si="1"/>
        <v>-3203</v>
      </c>
      <c r="G36">
        <f t="shared" si="2"/>
        <v>-0.19533999999475782</v>
      </c>
      <c r="H36">
        <f t="shared" si="3"/>
        <v>-0.19533999999475782</v>
      </c>
      <c r="O36">
        <f t="shared" ca="1" si="4"/>
        <v>-0.10835494687355723</v>
      </c>
      <c r="Q36" s="1">
        <f t="shared" si="5"/>
        <v>4588.9900000000016</v>
      </c>
    </row>
    <row r="37" spans="1:17" x14ac:dyDescent="0.2">
      <c r="A37" s="25" t="s">
        <v>92</v>
      </c>
      <c r="B37" s="27" t="s">
        <v>181</v>
      </c>
      <c r="C37" s="26">
        <v>19710.22</v>
      </c>
      <c r="D37" s="3"/>
      <c r="E37">
        <f t="shared" si="0"/>
        <v>-3193.0163131851114</v>
      </c>
      <c r="F37">
        <f t="shared" si="1"/>
        <v>-3193</v>
      </c>
      <c r="G37">
        <f t="shared" si="2"/>
        <v>-0.16753999999491498</v>
      </c>
      <c r="H37">
        <f t="shared" si="3"/>
        <v>-0.16753999999491498</v>
      </c>
      <c r="O37">
        <f t="shared" ca="1" si="4"/>
        <v>-0.10743368497416705</v>
      </c>
      <c r="Q37" s="1">
        <f t="shared" si="5"/>
        <v>4691.7200000000012</v>
      </c>
    </row>
    <row r="38" spans="1:17" x14ac:dyDescent="0.2">
      <c r="A38" s="25" t="s">
        <v>92</v>
      </c>
      <c r="B38" s="27" t="s">
        <v>181</v>
      </c>
      <c r="C38" s="26">
        <v>19977.5</v>
      </c>
      <c r="D38" s="3"/>
      <c r="E38">
        <f t="shared" si="0"/>
        <v>-3166.9915542218178</v>
      </c>
      <c r="F38">
        <f t="shared" si="1"/>
        <v>-3167</v>
      </c>
      <c r="G38">
        <f t="shared" si="2"/>
        <v>8.6740000002464512E-2</v>
      </c>
      <c r="H38">
        <f t="shared" si="3"/>
        <v>8.6740000002464512E-2</v>
      </c>
      <c r="O38">
        <f t="shared" ca="1" si="4"/>
        <v>-0.10503840403575249</v>
      </c>
      <c r="Q38" s="1">
        <f t="shared" si="5"/>
        <v>4959</v>
      </c>
    </row>
    <row r="39" spans="1:17" x14ac:dyDescent="0.2">
      <c r="A39" s="25" t="s">
        <v>92</v>
      </c>
      <c r="B39" s="27" t="s">
        <v>181</v>
      </c>
      <c r="C39" s="26">
        <v>20008.34</v>
      </c>
      <c r="D39" s="3"/>
      <c r="E39">
        <f t="shared" si="0"/>
        <v>-3163.9886974183605</v>
      </c>
      <c r="F39">
        <f t="shared" si="1"/>
        <v>-3164</v>
      </c>
      <c r="G39">
        <f t="shared" si="2"/>
        <v>0.11608000000342145</v>
      </c>
      <c r="H39">
        <f t="shared" si="3"/>
        <v>0.11608000000342145</v>
      </c>
      <c r="O39">
        <f t="shared" ca="1" si="4"/>
        <v>-0.10476202546593544</v>
      </c>
      <c r="Q39" s="1">
        <f t="shared" si="5"/>
        <v>4989.84</v>
      </c>
    </row>
    <row r="40" spans="1:17" x14ac:dyDescent="0.2">
      <c r="A40" s="25" t="s">
        <v>92</v>
      </c>
      <c r="B40" s="27" t="s">
        <v>181</v>
      </c>
      <c r="C40" s="26">
        <v>20018.419999999998</v>
      </c>
      <c r="D40" s="3"/>
      <c r="E40">
        <f t="shared" si="0"/>
        <v>-3163.0072189300713</v>
      </c>
      <c r="F40">
        <f t="shared" si="1"/>
        <v>-3163</v>
      </c>
      <c r="G40">
        <f t="shared" si="2"/>
        <v>-7.4139999996987171E-2</v>
      </c>
      <c r="H40">
        <f t="shared" si="3"/>
        <v>-7.4139999996987171E-2</v>
      </c>
      <c r="O40">
        <f t="shared" ca="1" si="4"/>
        <v>-0.1046698992759964</v>
      </c>
      <c r="Q40" s="1">
        <f t="shared" si="5"/>
        <v>4999.9199999999983</v>
      </c>
    </row>
    <row r="41" spans="1:17" x14ac:dyDescent="0.2">
      <c r="A41" s="25" t="s">
        <v>92</v>
      </c>
      <c r="B41" s="27" t="s">
        <v>181</v>
      </c>
      <c r="C41" s="26">
        <v>20028.46</v>
      </c>
      <c r="D41" s="3"/>
      <c r="E41">
        <f t="shared" si="0"/>
        <v>-3162.0296351976876</v>
      </c>
      <c r="F41">
        <f t="shared" si="1"/>
        <v>-3162</v>
      </c>
      <c r="G41">
        <f t="shared" si="2"/>
        <v>-0.3043599999982689</v>
      </c>
      <c r="H41">
        <f t="shared" si="3"/>
        <v>-0.3043599999982689</v>
      </c>
      <c r="O41">
        <f t="shared" ca="1" si="4"/>
        <v>-0.10457777308605742</v>
      </c>
      <c r="Q41" s="1">
        <f t="shared" si="5"/>
        <v>5009.9599999999991</v>
      </c>
    </row>
    <row r="42" spans="1:17" x14ac:dyDescent="0.2">
      <c r="A42" s="25" t="s">
        <v>92</v>
      </c>
      <c r="B42" s="27" t="s">
        <v>181</v>
      </c>
      <c r="C42" s="26">
        <v>20039.27</v>
      </c>
      <c r="D42" s="3"/>
      <c r="E42">
        <f t="shared" si="0"/>
        <v>-3160.9770774141152</v>
      </c>
      <c r="F42">
        <f t="shared" si="1"/>
        <v>-3161</v>
      </c>
      <c r="G42">
        <f t="shared" si="2"/>
        <v>0.2354200000045239</v>
      </c>
      <c r="H42">
        <f t="shared" si="3"/>
        <v>0.2354200000045239</v>
      </c>
      <c r="O42">
        <f t="shared" ca="1" si="4"/>
        <v>-0.10448564689611839</v>
      </c>
      <c r="Q42" s="1">
        <f t="shared" si="5"/>
        <v>5020.7700000000004</v>
      </c>
    </row>
    <row r="43" spans="1:17" x14ac:dyDescent="0.2">
      <c r="A43" s="25" t="s">
        <v>92</v>
      </c>
      <c r="B43" s="27" t="s">
        <v>181</v>
      </c>
      <c r="C43" s="26">
        <v>20059.259999999998</v>
      </c>
      <c r="D43" s="3"/>
      <c r="E43">
        <f t="shared" si="0"/>
        <v>-3159.0306731501369</v>
      </c>
      <c r="F43">
        <f t="shared" si="1"/>
        <v>-3159</v>
      </c>
      <c r="G43">
        <f t="shared" si="2"/>
        <v>-0.31501999999818509</v>
      </c>
      <c r="H43">
        <f t="shared" si="3"/>
        <v>-0.31501999999818509</v>
      </c>
      <c r="O43">
        <f t="shared" ca="1" si="4"/>
        <v>-0.10430139451624032</v>
      </c>
      <c r="Q43" s="1">
        <f t="shared" si="5"/>
        <v>5040.7599999999984</v>
      </c>
    </row>
    <row r="44" spans="1:17" x14ac:dyDescent="0.2">
      <c r="A44" s="25" t="s">
        <v>92</v>
      </c>
      <c r="B44" s="27" t="s">
        <v>182</v>
      </c>
      <c r="C44" s="26">
        <v>20065.259999999998</v>
      </c>
      <c r="D44" s="3"/>
      <c r="E44">
        <f t="shared" si="0"/>
        <v>-3158.4464597642504</v>
      </c>
      <c r="F44">
        <f t="shared" si="1"/>
        <v>-3158.5</v>
      </c>
      <c r="G44">
        <f t="shared" si="2"/>
        <v>0.54987000000255648</v>
      </c>
      <c r="H44">
        <f t="shared" si="3"/>
        <v>0.54987000000255648</v>
      </c>
      <c r="O44">
        <f t="shared" ca="1" si="4"/>
        <v>-0.1042553314212708</v>
      </c>
      <c r="Q44" s="1">
        <f t="shared" si="5"/>
        <v>5046.7599999999984</v>
      </c>
    </row>
    <row r="45" spans="1:17" x14ac:dyDescent="0.2">
      <c r="A45" s="25" t="s">
        <v>92</v>
      </c>
      <c r="B45" s="27" t="s">
        <v>181</v>
      </c>
      <c r="C45" s="26">
        <v>20070.25</v>
      </c>
      <c r="D45" s="3"/>
      <c r="E45">
        <f t="shared" si="0"/>
        <v>-3157.9605889649879</v>
      </c>
      <c r="F45">
        <f t="shared" si="1"/>
        <v>-3158</v>
      </c>
      <c r="G45">
        <f t="shared" si="2"/>
        <v>0.40476000000489876</v>
      </c>
      <c r="H45">
        <f t="shared" si="3"/>
        <v>0.40476000000489876</v>
      </c>
      <c r="O45">
        <f t="shared" ca="1" si="4"/>
        <v>-0.10420926832630134</v>
      </c>
      <c r="Q45" s="1">
        <f t="shared" si="5"/>
        <v>5051.75</v>
      </c>
    </row>
    <row r="46" spans="1:17" x14ac:dyDescent="0.2">
      <c r="A46" s="25" t="s">
        <v>139</v>
      </c>
      <c r="B46" s="27" t="s">
        <v>181</v>
      </c>
      <c r="C46" s="26">
        <v>20665.47</v>
      </c>
      <c r="D46" s="3"/>
      <c r="E46">
        <f t="shared" si="0"/>
        <v>-3100.0046737070866</v>
      </c>
      <c r="F46">
        <f t="shared" si="1"/>
        <v>-3100</v>
      </c>
      <c r="G46">
        <f t="shared" si="2"/>
        <v>-4.7999999995226972E-2</v>
      </c>
      <c r="H46">
        <f t="shared" si="3"/>
        <v>-4.7999999995226972E-2</v>
      </c>
      <c r="O46">
        <f t="shared" ca="1" si="4"/>
        <v>-9.8865949309838108E-2</v>
      </c>
      <c r="Q46" s="1">
        <f t="shared" si="5"/>
        <v>5646.9700000000012</v>
      </c>
    </row>
    <row r="47" spans="1:17" x14ac:dyDescent="0.2">
      <c r="A47" s="25" t="s">
        <v>139</v>
      </c>
      <c r="B47" s="27" t="s">
        <v>181</v>
      </c>
      <c r="C47" s="26">
        <v>21425.42</v>
      </c>
      <c r="D47" s="3"/>
      <c r="E47">
        <f t="shared" si="0"/>
        <v>-3026.00917993967</v>
      </c>
      <c r="F47">
        <f t="shared" si="1"/>
        <v>-3026</v>
      </c>
      <c r="G47">
        <f t="shared" si="2"/>
        <v>-9.427999999752501E-2</v>
      </c>
      <c r="H47">
        <f t="shared" si="3"/>
        <v>-9.427999999752501E-2</v>
      </c>
      <c r="O47">
        <f t="shared" ca="1" si="4"/>
        <v>-9.2048611254350599E-2</v>
      </c>
      <c r="Q47" s="1">
        <f t="shared" si="5"/>
        <v>6406.9199999999983</v>
      </c>
    </row>
    <row r="48" spans="1:17" x14ac:dyDescent="0.2">
      <c r="A48" s="25" t="s">
        <v>139</v>
      </c>
      <c r="B48" s="27" t="s">
        <v>181</v>
      </c>
      <c r="C48" s="26">
        <v>21456.400000000001</v>
      </c>
      <c r="D48" s="3"/>
      <c r="E48">
        <f t="shared" si="0"/>
        <v>-3022.9926914905423</v>
      </c>
      <c r="F48">
        <f t="shared" si="1"/>
        <v>-3023</v>
      </c>
      <c r="G48">
        <f t="shared" si="2"/>
        <v>7.5060000006487826E-2</v>
      </c>
      <c r="H48">
        <f t="shared" si="3"/>
        <v>7.5060000006487826E-2</v>
      </c>
      <c r="O48">
        <f t="shared" ca="1" si="4"/>
        <v>-9.177223268453355E-2</v>
      </c>
      <c r="Q48" s="1">
        <f t="shared" si="5"/>
        <v>6437.9000000000015</v>
      </c>
    </row>
    <row r="49" spans="1:17" x14ac:dyDescent="0.2">
      <c r="A49" s="25" t="s">
        <v>139</v>
      </c>
      <c r="B49" s="27" t="s">
        <v>181</v>
      </c>
      <c r="C49" s="26">
        <v>21497.3</v>
      </c>
      <c r="D49" s="3"/>
      <c r="E49">
        <f t="shared" si="0"/>
        <v>-3019.0103035767488</v>
      </c>
      <c r="F49">
        <f t="shared" si="1"/>
        <v>-3019</v>
      </c>
      <c r="G49">
        <f t="shared" si="2"/>
        <v>-0.10581999999703839</v>
      </c>
      <c r="H49">
        <f t="shared" si="3"/>
        <v>-0.10581999999703839</v>
      </c>
      <c r="O49">
        <f t="shared" ca="1" si="4"/>
        <v>-9.1403727924777467E-2</v>
      </c>
      <c r="Q49" s="1">
        <f t="shared" si="5"/>
        <v>6478.7999999999993</v>
      </c>
    </row>
    <row r="50" spans="1:17" x14ac:dyDescent="0.2">
      <c r="A50" s="25" t="s">
        <v>139</v>
      </c>
      <c r="B50" s="27" t="s">
        <v>181</v>
      </c>
      <c r="C50" s="26">
        <v>21846.45</v>
      </c>
      <c r="D50" s="3"/>
      <c r="E50">
        <f t="shared" si="0"/>
        <v>-2985.0139529630324</v>
      </c>
      <c r="F50">
        <f t="shared" si="1"/>
        <v>-2985</v>
      </c>
      <c r="G50">
        <f t="shared" si="2"/>
        <v>-0.14329999999608845</v>
      </c>
      <c r="H50">
        <f t="shared" si="3"/>
        <v>-0.14329999999608845</v>
      </c>
      <c r="O50">
        <f t="shared" ca="1" si="4"/>
        <v>-8.8271437466850788E-2</v>
      </c>
      <c r="Q50" s="1">
        <f t="shared" si="5"/>
        <v>6827.9500000000007</v>
      </c>
    </row>
    <row r="51" spans="1:17" x14ac:dyDescent="0.2">
      <c r="A51" s="25" t="s">
        <v>154</v>
      </c>
      <c r="B51" s="27" t="s">
        <v>182</v>
      </c>
      <c r="C51" s="26">
        <v>24325.51</v>
      </c>
      <c r="D51" s="3"/>
      <c r="E51">
        <f t="shared" si="0"/>
        <v>-2743.6306135603713</v>
      </c>
      <c r="F51">
        <f t="shared" si="1"/>
        <v>-2743.5</v>
      </c>
      <c r="G51">
        <f t="shared" si="2"/>
        <v>-1.3414299999967625</v>
      </c>
      <c r="H51">
        <f t="shared" si="3"/>
        <v>-1.3414299999967625</v>
      </c>
      <c r="O51">
        <f t="shared" ca="1" si="4"/>
        <v>-6.6022962596577306E-2</v>
      </c>
      <c r="Q51" s="1">
        <f t="shared" si="5"/>
        <v>9307.0099999999984</v>
      </c>
    </row>
    <row r="52" spans="1:17" x14ac:dyDescent="0.2">
      <c r="A52" s="25" t="s">
        <v>159</v>
      </c>
      <c r="B52" s="27" t="s">
        <v>181</v>
      </c>
      <c r="C52" s="26">
        <v>25461.71</v>
      </c>
      <c r="D52" s="3"/>
      <c r="E52">
        <f t="shared" si="0"/>
        <v>-2633.0000720529843</v>
      </c>
      <c r="F52">
        <f t="shared" si="1"/>
        <v>-2633</v>
      </c>
      <c r="G52">
        <f t="shared" si="2"/>
        <v>-7.3999999585794285E-4</v>
      </c>
      <c r="H52">
        <f t="shared" si="3"/>
        <v>-7.3999999585794285E-4</v>
      </c>
      <c r="O52">
        <f t="shared" ca="1" si="4"/>
        <v>-5.5843018608315559E-2</v>
      </c>
      <c r="Q52" s="1">
        <f t="shared" si="5"/>
        <v>10443.209999999999</v>
      </c>
    </row>
    <row r="53" spans="1:17" x14ac:dyDescent="0.2">
      <c r="A53" s="25" t="s">
        <v>163</v>
      </c>
      <c r="B53" s="27" t="s">
        <v>181</v>
      </c>
      <c r="C53" s="26">
        <v>25719.46</v>
      </c>
      <c r="D53" s="3"/>
      <c r="E53">
        <f t="shared" si="0"/>
        <v>-2607.9032386842732</v>
      </c>
      <c r="F53">
        <f t="shared" si="1"/>
        <v>-2608</v>
      </c>
      <c r="G53">
        <f t="shared" si="2"/>
        <v>0.99376000000120257</v>
      </c>
      <c r="H53">
        <f t="shared" si="3"/>
        <v>0.99376000000120257</v>
      </c>
      <c r="O53">
        <f t="shared" ca="1" si="4"/>
        <v>-5.3539863859840053E-2</v>
      </c>
      <c r="Q53" s="1">
        <f t="shared" si="5"/>
        <v>10700.96</v>
      </c>
    </row>
    <row r="54" spans="1:17" x14ac:dyDescent="0.2">
      <c r="A54" s="25" t="s">
        <v>168</v>
      </c>
      <c r="B54" s="27" t="s">
        <v>181</v>
      </c>
      <c r="C54" s="26">
        <v>28234.65</v>
      </c>
      <c r="D54" s="3"/>
      <c r="E54">
        <f t="shared" si="0"/>
        <v>-2363.0019610095983</v>
      </c>
      <c r="F54">
        <f t="shared" si="1"/>
        <v>-2363</v>
      </c>
      <c r="G54">
        <f t="shared" si="2"/>
        <v>-2.013999999689986E-2</v>
      </c>
      <c r="H54">
        <f t="shared" si="3"/>
        <v>-2.013999999689986E-2</v>
      </c>
      <c r="O54">
        <f t="shared" ca="1" si="4"/>
        <v>-3.0968947324780033E-2</v>
      </c>
      <c r="Q54" s="1">
        <f t="shared" si="5"/>
        <v>13216.150000000001</v>
      </c>
    </row>
    <row r="55" spans="1:17" x14ac:dyDescent="0.2">
      <c r="A55" s="25" t="s">
        <v>163</v>
      </c>
      <c r="B55" s="27" t="s">
        <v>181</v>
      </c>
      <c r="C55" s="26">
        <v>28347.631000000001</v>
      </c>
      <c r="D55" s="3"/>
      <c r="E55">
        <f t="shared" si="0"/>
        <v>-2352.0011255844565</v>
      </c>
      <c r="F55">
        <f t="shared" si="1"/>
        <v>-2352</v>
      </c>
      <c r="G55">
        <f t="shared" si="2"/>
        <v>-1.1559999995370163E-2</v>
      </c>
      <c r="H55">
        <f t="shared" si="3"/>
        <v>-1.1559999995370163E-2</v>
      </c>
      <c r="O55">
        <f t="shared" ca="1" si="4"/>
        <v>-2.9955559235450818E-2</v>
      </c>
      <c r="Q55" s="1">
        <f t="shared" si="5"/>
        <v>13329.131000000001</v>
      </c>
    </row>
    <row r="56" spans="1:17" x14ac:dyDescent="0.2">
      <c r="A56" s="25" t="s">
        <v>176</v>
      </c>
      <c r="B56" s="27" t="s">
        <v>181</v>
      </c>
      <c r="C56" s="26">
        <v>34961.760000000002</v>
      </c>
      <c r="D56" s="3"/>
      <c r="E56">
        <f t="shared" si="0"/>
        <v>-1707.9906759543608</v>
      </c>
      <c r="F56">
        <f t="shared" si="1"/>
        <v>-1708</v>
      </c>
      <c r="G56">
        <f t="shared" si="2"/>
        <v>9.5760000003792811E-2</v>
      </c>
      <c r="H56">
        <f t="shared" si="3"/>
        <v>9.5760000003792811E-2</v>
      </c>
      <c r="O56">
        <f t="shared" ca="1" si="4"/>
        <v>2.9373707085278367E-2</v>
      </c>
      <c r="Q56" s="1">
        <f t="shared" si="5"/>
        <v>19943.260000000002</v>
      </c>
    </row>
    <row r="57" spans="1:17" x14ac:dyDescent="0.2">
      <c r="A57" s="25" t="s">
        <v>180</v>
      </c>
      <c r="B57" s="27" t="s">
        <v>181</v>
      </c>
      <c r="C57" s="26">
        <v>35742.269999999997</v>
      </c>
      <c r="D57" s="3"/>
      <c r="E57">
        <f t="shared" si="0"/>
        <v>-1631.9932776513065</v>
      </c>
      <c r="F57">
        <f t="shared" si="1"/>
        <v>-1632</v>
      </c>
      <c r="G57">
        <f t="shared" si="2"/>
        <v>6.9039999994856771E-2</v>
      </c>
      <c r="H57">
        <f t="shared" si="3"/>
        <v>6.9039999994856771E-2</v>
      </c>
      <c r="O57">
        <f t="shared" ca="1" si="4"/>
        <v>3.6375297520643946E-2</v>
      </c>
      <c r="Q57" s="1">
        <f t="shared" si="5"/>
        <v>20723.769999999997</v>
      </c>
    </row>
    <row r="58" spans="1:17" x14ac:dyDescent="0.2">
      <c r="A58" t="s">
        <v>51</v>
      </c>
      <c r="C58" s="3">
        <v>52503.199999999997</v>
      </c>
      <c r="D58" s="3" t="s">
        <v>13</v>
      </c>
      <c r="E58">
        <f t="shared" si="0"/>
        <v>0</v>
      </c>
      <c r="F58">
        <f t="shared" si="1"/>
        <v>0</v>
      </c>
      <c r="G58">
        <f t="shared" si="2"/>
        <v>0</v>
      </c>
      <c r="H58">
        <f t="shared" si="3"/>
        <v>0</v>
      </c>
      <c r="O58">
        <f t="shared" ca="1" si="4"/>
        <v>0.18672523950112535</v>
      </c>
      <c r="Q58" s="1">
        <f t="shared" si="5"/>
        <v>37484.699999999997</v>
      </c>
    </row>
    <row r="59" spans="1:17" x14ac:dyDescent="0.2">
      <c r="B59" s="2"/>
      <c r="C59" s="3"/>
      <c r="D59" s="3"/>
    </row>
    <row r="60" spans="1:17" x14ac:dyDescent="0.2">
      <c r="B60" s="2"/>
      <c r="C60" s="3"/>
      <c r="D60" s="3"/>
    </row>
    <row r="61" spans="1:17" x14ac:dyDescent="0.2">
      <c r="B61" s="2"/>
      <c r="C61" s="3"/>
      <c r="D61" s="3"/>
    </row>
    <row r="62" spans="1:17" x14ac:dyDescent="0.2">
      <c r="B62" s="2"/>
      <c r="C62" s="3"/>
      <c r="D62" s="3"/>
    </row>
    <row r="63" spans="1:17" x14ac:dyDescent="0.2">
      <c r="B63" s="2"/>
      <c r="C63" s="3"/>
      <c r="D63" s="3"/>
    </row>
    <row r="64" spans="1:17" x14ac:dyDescent="0.2">
      <c r="B64" s="2"/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3"/>
  <sheetViews>
    <sheetView workbookViewId="0">
      <selection activeCell="A11" sqref="A11:C47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41</v>
      </c>
      <c r="I1" s="9" t="s">
        <v>42</v>
      </c>
      <c r="J1" s="10" t="s">
        <v>40</v>
      </c>
    </row>
    <row r="2" spans="1:16" x14ac:dyDescent="0.2">
      <c r="I2" s="11" t="s">
        <v>43</v>
      </c>
      <c r="J2" s="12" t="s">
        <v>39</v>
      </c>
    </row>
    <row r="3" spans="1:16" x14ac:dyDescent="0.2">
      <c r="A3" s="13" t="s">
        <v>44</v>
      </c>
      <c r="I3" s="11" t="s">
        <v>45</v>
      </c>
      <c r="J3" s="12" t="s">
        <v>37</v>
      </c>
    </row>
    <row r="4" spans="1:16" x14ac:dyDescent="0.2">
      <c r="I4" s="11" t="s">
        <v>46</v>
      </c>
      <c r="J4" s="12" t="s">
        <v>37</v>
      </c>
    </row>
    <row r="5" spans="1:16" ht="13.5" thickBot="1" x14ac:dyDescent="0.25">
      <c r="I5" s="14" t="s">
        <v>47</v>
      </c>
      <c r="J5" s="15" t="s">
        <v>38</v>
      </c>
    </row>
    <row r="10" spans="1:16" ht="13.5" thickBot="1" x14ac:dyDescent="0.25"/>
    <row r="11" spans="1:16" ht="12.75" customHeight="1" thickBot="1" x14ac:dyDescent="0.25">
      <c r="A11" s="3" t="str">
        <f t="shared" ref="A11:A47" si="0">P11</f>
        <v> AN 175.169 </v>
      </c>
      <c r="B11" s="2" t="str">
        <f t="shared" ref="B11:B47" si="1">IF(H11=INT(H11),"I","II")</f>
        <v>I</v>
      </c>
      <c r="C11" s="3">
        <f t="shared" ref="C11:C47" si="2">1*G11</f>
        <v>15571.63</v>
      </c>
      <c r="D11" s="4" t="str">
        <f t="shared" ref="D11:D47" si="3">VLOOKUP(F11,I$1:J$5,2,FALSE)</f>
        <v>vis</v>
      </c>
      <c r="E11" s="16">
        <f>VLOOKUP(C11,Active!C$21:E$973,3,FALSE)</f>
        <v>-3595.986259301164</v>
      </c>
      <c r="F11" s="2" t="s">
        <v>47</v>
      </c>
      <c r="G11" s="4" t="str">
        <f t="shared" ref="G11:G47" si="4">MID(I11,3,LEN(I11)-3)</f>
        <v>15571.63</v>
      </c>
      <c r="H11" s="3">
        <f t="shared" ref="H11:H47" si="5">1*K11</f>
        <v>-496</v>
      </c>
      <c r="I11" s="17" t="s">
        <v>53</v>
      </c>
      <c r="J11" s="18" t="s">
        <v>54</v>
      </c>
      <c r="K11" s="17">
        <v>-496</v>
      </c>
      <c r="L11" s="17" t="s">
        <v>55</v>
      </c>
      <c r="M11" s="18" t="s">
        <v>56</v>
      </c>
      <c r="N11" s="18"/>
      <c r="O11" s="19" t="s">
        <v>57</v>
      </c>
      <c r="P11" s="19" t="s">
        <v>58</v>
      </c>
    </row>
    <row r="12" spans="1:16" ht="12.75" customHeight="1" thickBot="1" x14ac:dyDescent="0.25">
      <c r="A12" s="3" t="str">
        <f t="shared" si="0"/>
        <v> AN 175.169 </v>
      </c>
      <c r="B12" s="2" t="str">
        <f t="shared" si="1"/>
        <v>I</v>
      </c>
      <c r="C12" s="3">
        <f t="shared" si="2"/>
        <v>16310.71</v>
      </c>
      <c r="D12" s="4" t="str">
        <f t="shared" si="3"/>
        <v>vis</v>
      </c>
      <c r="E12" s="16">
        <f>VLOOKUP(C12,Active!C$21:E$973,3,FALSE)</f>
        <v>-3524.0228544276556</v>
      </c>
      <c r="F12" s="2" t="s">
        <v>47</v>
      </c>
      <c r="G12" s="4" t="str">
        <f t="shared" si="4"/>
        <v>16310.71</v>
      </c>
      <c r="H12" s="3">
        <f t="shared" si="5"/>
        <v>-424</v>
      </c>
      <c r="I12" s="17" t="s">
        <v>59</v>
      </c>
      <c r="J12" s="18" t="s">
        <v>60</v>
      </c>
      <c r="K12" s="17">
        <v>-424</v>
      </c>
      <c r="L12" s="17" t="s">
        <v>61</v>
      </c>
      <c r="M12" s="18" t="s">
        <v>56</v>
      </c>
      <c r="N12" s="18"/>
      <c r="O12" s="19" t="s">
        <v>57</v>
      </c>
      <c r="P12" s="19" t="s">
        <v>58</v>
      </c>
    </row>
    <row r="13" spans="1:16" ht="12.75" customHeight="1" thickBot="1" x14ac:dyDescent="0.25">
      <c r="A13" s="3" t="str">
        <f t="shared" si="0"/>
        <v> AN 175.169 </v>
      </c>
      <c r="B13" s="2" t="str">
        <f t="shared" si="1"/>
        <v>I</v>
      </c>
      <c r="C13" s="3">
        <f t="shared" si="2"/>
        <v>16639.71</v>
      </c>
      <c r="D13" s="4" t="str">
        <f t="shared" si="3"/>
        <v>vis</v>
      </c>
      <c r="E13" s="16">
        <f>VLOOKUP(C13,Active!C$21:E$973,3,FALSE)</f>
        <v>-3491.988487101542</v>
      </c>
      <c r="F13" s="2" t="s">
        <v>47</v>
      </c>
      <c r="G13" s="4" t="str">
        <f t="shared" si="4"/>
        <v>16639.71</v>
      </c>
      <c r="H13" s="3">
        <f t="shared" si="5"/>
        <v>-392</v>
      </c>
      <c r="I13" s="17" t="s">
        <v>62</v>
      </c>
      <c r="J13" s="18" t="s">
        <v>63</v>
      </c>
      <c r="K13" s="17">
        <v>-392</v>
      </c>
      <c r="L13" s="17" t="s">
        <v>64</v>
      </c>
      <c r="M13" s="18" t="s">
        <v>56</v>
      </c>
      <c r="N13" s="18"/>
      <c r="O13" s="19" t="s">
        <v>57</v>
      </c>
      <c r="P13" s="19" t="s">
        <v>58</v>
      </c>
    </row>
    <row r="14" spans="1:16" ht="12.75" customHeight="1" thickBot="1" x14ac:dyDescent="0.25">
      <c r="A14" s="3" t="str">
        <f t="shared" si="0"/>
        <v> AN 175.169 </v>
      </c>
      <c r="B14" s="2" t="str">
        <f t="shared" si="1"/>
        <v>I</v>
      </c>
      <c r="C14" s="3">
        <f t="shared" si="2"/>
        <v>16649.71</v>
      </c>
      <c r="D14" s="4" t="str">
        <f t="shared" si="3"/>
        <v>vis</v>
      </c>
      <c r="E14" s="16">
        <f>VLOOKUP(C14,Active!C$21:E$973,3,FALSE)</f>
        <v>-3491.0147981250643</v>
      </c>
      <c r="F14" s="2" t="s">
        <v>47</v>
      </c>
      <c r="G14" s="4" t="str">
        <f t="shared" si="4"/>
        <v>16649.71</v>
      </c>
      <c r="H14" s="3">
        <f t="shared" si="5"/>
        <v>-391</v>
      </c>
      <c r="I14" s="17" t="s">
        <v>65</v>
      </c>
      <c r="J14" s="18" t="s">
        <v>66</v>
      </c>
      <c r="K14" s="17">
        <v>-391</v>
      </c>
      <c r="L14" s="17" t="s">
        <v>67</v>
      </c>
      <c r="M14" s="18" t="s">
        <v>56</v>
      </c>
      <c r="N14" s="18"/>
      <c r="O14" s="19" t="s">
        <v>57</v>
      </c>
      <c r="P14" s="19" t="s">
        <v>58</v>
      </c>
    </row>
    <row r="15" spans="1:16" ht="12.75" customHeight="1" thickBot="1" x14ac:dyDescent="0.25">
      <c r="A15" s="3" t="str">
        <f t="shared" si="0"/>
        <v> AN 175.169 </v>
      </c>
      <c r="B15" s="2" t="str">
        <f t="shared" si="1"/>
        <v>I</v>
      </c>
      <c r="C15" s="3">
        <f t="shared" si="2"/>
        <v>16711.63</v>
      </c>
      <c r="D15" s="4" t="str">
        <f t="shared" si="3"/>
        <v>vis</v>
      </c>
      <c r="E15" s="16">
        <f>VLOOKUP(C15,Active!C$21:E$973,3,FALSE)</f>
        <v>-3484.9857159827143</v>
      </c>
      <c r="F15" s="2" t="s">
        <v>47</v>
      </c>
      <c r="G15" s="4" t="str">
        <f t="shared" si="4"/>
        <v>16711.63</v>
      </c>
      <c r="H15" s="3">
        <f t="shared" si="5"/>
        <v>-385</v>
      </c>
      <c r="I15" s="17" t="s">
        <v>68</v>
      </c>
      <c r="J15" s="18" t="s">
        <v>69</v>
      </c>
      <c r="K15" s="17">
        <v>-385</v>
      </c>
      <c r="L15" s="17" t="s">
        <v>55</v>
      </c>
      <c r="M15" s="18" t="s">
        <v>56</v>
      </c>
      <c r="N15" s="18"/>
      <c r="O15" s="19" t="s">
        <v>57</v>
      </c>
      <c r="P15" s="19" t="s">
        <v>58</v>
      </c>
    </row>
    <row r="16" spans="1:16" ht="12.75" customHeight="1" thickBot="1" x14ac:dyDescent="0.25">
      <c r="A16" s="3" t="str">
        <f t="shared" si="0"/>
        <v> AN 175.169 </v>
      </c>
      <c r="B16" s="2" t="str">
        <f t="shared" si="1"/>
        <v>I</v>
      </c>
      <c r="C16" s="3">
        <f t="shared" si="2"/>
        <v>16752.54</v>
      </c>
      <c r="D16" s="4" t="str">
        <f t="shared" si="3"/>
        <v>vis</v>
      </c>
      <c r="E16" s="16">
        <f>VLOOKUP(C16,Active!C$21:E$973,3,FALSE)</f>
        <v>-3481.0023543799448</v>
      </c>
      <c r="F16" s="2" t="s">
        <v>47</v>
      </c>
      <c r="G16" s="4" t="str">
        <f t="shared" si="4"/>
        <v>16752.54</v>
      </c>
      <c r="H16" s="3">
        <f t="shared" si="5"/>
        <v>-381</v>
      </c>
      <c r="I16" s="17" t="s">
        <v>70</v>
      </c>
      <c r="J16" s="18" t="s">
        <v>71</v>
      </c>
      <c r="K16" s="17">
        <v>-381</v>
      </c>
      <c r="L16" s="17" t="s">
        <v>72</v>
      </c>
      <c r="M16" s="18" t="s">
        <v>56</v>
      </c>
      <c r="N16" s="18"/>
      <c r="O16" s="19" t="s">
        <v>57</v>
      </c>
      <c r="P16" s="19" t="s">
        <v>58</v>
      </c>
    </row>
    <row r="17" spans="1:16" ht="12.75" customHeight="1" thickBot="1" x14ac:dyDescent="0.25">
      <c r="A17" s="3" t="str">
        <f t="shared" si="0"/>
        <v> AN 175.169 </v>
      </c>
      <c r="B17" s="2" t="str">
        <f t="shared" si="1"/>
        <v>I</v>
      </c>
      <c r="C17" s="3">
        <f t="shared" si="2"/>
        <v>16957.830000000002</v>
      </c>
      <c r="D17" s="4" t="str">
        <f t="shared" si="3"/>
        <v>vis</v>
      </c>
      <c r="E17" s="16">
        <f>VLOOKUP(C17,Active!C$21:E$973,3,FALSE)</f>
        <v>-3461.0134933818354</v>
      </c>
      <c r="F17" s="2" t="s">
        <v>47</v>
      </c>
      <c r="G17" s="4" t="str">
        <f t="shared" si="4"/>
        <v>16957.83</v>
      </c>
      <c r="H17" s="3">
        <f t="shared" si="5"/>
        <v>-361</v>
      </c>
      <c r="I17" s="17" t="s">
        <v>73</v>
      </c>
      <c r="J17" s="18" t="s">
        <v>74</v>
      </c>
      <c r="K17" s="17">
        <v>-361</v>
      </c>
      <c r="L17" s="17" t="s">
        <v>75</v>
      </c>
      <c r="M17" s="18" t="s">
        <v>56</v>
      </c>
      <c r="N17" s="18"/>
      <c r="O17" s="19" t="s">
        <v>57</v>
      </c>
      <c r="P17" s="19" t="s">
        <v>58</v>
      </c>
    </row>
    <row r="18" spans="1:16" ht="12.75" customHeight="1" thickBot="1" x14ac:dyDescent="0.25">
      <c r="A18" s="3" t="str">
        <f t="shared" si="0"/>
        <v> AN 175.169 </v>
      </c>
      <c r="B18" s="2" t="str">
        <f t="shared" si="1"/>
        <v>I</v>
      </c>
      <c r="C18" s="3">
        <f t="shared" si="2"/>
        <v>17140.46</v>
      </c>
      <c r="D18" s="4" t="str">
        <f t="shared" si="3"/>
        <v>vis</v>
      </c>
      <c r="E18" s="16">
        <f>VLOOKUP(C18,Active!C$21:E$973,3,FALSE)</f>
        <v>-3443.231011604425</v>
      </c>
      <c r="F18" s="2" t="s">
        <v>47</v>
      </c>
      <c r="G18" s="4" t="str">
        <f t="shared" si="4"/>
        <v>17140.46</v>
      </c>
      <c r="H18" s="3">
        <f t="shared" si="5"/>
        <v>-343</v>
      </c>
      <c r="I18" s="17" t="s">
        <v>76</v>
      </c>
      <c r="J18" s="18" t="s">
        <v>77</v>
      </c>
      <c r="K18" s="17">
        <v>-343</v>
      </c>
      <c r="L18" s="17" t="s">
        <v>78</v>
      </c>
      <c r="M18" s="18" t="s">
        <v>56</v>
      </c>
      <c r="N18" s="18"/>
      <c r="O18" s="19" t="s">
        <v>57</v>
      </c>
      <c r="P18" s="19" t="s">
        <v>58</v>
      </c>
    </row>
    <row r="19" spans="1:16" ht="12.75" customHeight="1" thickBot="1" x14ac:dyDescent="0.25">
      <c r="A19" s="3" t="str">
        <f t="shared" si="0"/>
        <v>VSB 47 </v>
      </c>
      <c r="B19" s="2" t="str">
        <f t="shared" si="1"/>
        <v>I</v>
      </c>
      <c r="C19" s="3">
        <f t="shared" si="2"/>
        <v>18714.32</v>
      </c>
      <c r="D19" s="4" t="str">
        <f t="shared" si="3"/>
        <v>vis</v>
      </c>
      <c r="E19" s="16">
        <f>VLOOKUP(C19,Active!C$21:E$973,3,FALSE)</f>
        <v>-3289.985998352518</v>
      </c>
      <c r="F19" s="2" t="s">
        <v>47</v>
      </c>
      <c r="G19" s="4" t="str">
        <f t="shared" si="4"/>
        <v>18714.32</v>
      </c>
      <c r="H19" s="3">
        <f t="shared" si="5"/>
        <v>-190</v>
      </c>
      <c r="I19" s="17" t="s">
        <v>79</v>
      </c>
      <c r="J19" s="18" t="s">
        <v>80</v>
      </c>
      <c r="K19" s="17">
        <v>-190</v>
      </c>
      <c r="L19" s="17" t="s">
        <v>81</v>
      </c>
      <c r="M19" s="18" t="s">
        <v>82</v>
      </c>
      <c r="N19" s="18"/>
      <c r="O19" s="19" t="s">
        <v>83</v>
      </c>
      <c r="P19" s="20" t="s">
        <v>84</v>
      </c>
    </row>
    <row r="20" spans="1:16" ht="12.75" customHeight="1" thickBot="1" x14ac:dyDescent="0.25">
      <c r="A20" s="3" t="str">
        <f t="shared" si="0"/>
        <v>VSB 47 </v>
      </c>
      <c r="B20" s="2" t="str">
        <f t="shared" si="1"/>
        <v>I</v>
      </c>
      <c r="C20" s="3">
        <f t="shared" si="2"/>
        <v>19145.187000000002</v>
      </c>
      <c r="D20" s="4" t="str">
        <f t="shared" si="3"/>
        <v>vis</v>
      </c>
      <c r="E20" s="16">
        <f>VLOOKUP(C20,Active!C$21:E$973,3,FALSE)</f>
        <v>-3248.0329535297192</v>
      </c>
      <c r="F20" s="2" t="s">
        <v>47</v>
      </c>
      <c r="G20" s="4" t="str">
        <f t="shared" si="4"/>
        <v>19145.187</v>
      </c>
      <c r="H20" s="3">
        <f t="shared" si="5"/>
        <v>-148</v>
      </c>
      <c r="I20" s="17" t="s">
        <v>85</v>
      </c>
      <c r="J20" s="18" t="s">
        <v>86</v>
      </c>
      <c r="K20" s="17">
        <v>-148</v>
      </c>
      <c r="L20" s="17" t="s">
        <v>87</v>
      </c>
      <c r="M20" s="18" t="s">
        <v>82</v>
      </c>
      <c r="N20" s="18"/>
      <c r="O20" s="19" t="s">
        <v>83</v>
      </c>
      <c r="P20" s="20" t="s">
        <v>84</v>
      </c>
    </row>
    <row r="21" spans="1:16" ht="12.75" customHeight="1" thickBot="1" x14ac:dyDescent="0.25">
      <c r="A21" s="3" t="str">
        <f t="shared" si="0"/>
        <v> AN 202.240 </v>
      </c>
      <c r="B21" s="2" t="str">
        <f t="shared" si="1"/>
        <v>I</v>
      </c>
      <c r="C21" s="3">
        <f t="shared" si="2"/>
        <v>19217.48</v>
      </c>
      <c r="D21" s="4" t="str">
        <f t="shared" si="3"/>
        <v>vis</v>
      </c>
      <c r="E21" s="16">
        <f>VLOOKUP(C21,Active!C$21:E$973,3,FALSE)</f>
        <v>-3240.9938638120702</v>
      </c>
      <c r="F21" s="2" t="s">
        <v>47</v>
      </c>
      <c r="G21" s="4" t="str">
        <f t="shared" si="4"/>
        <v>19217.48</v>
      </c>
      <c r="H21" s="3">
        <f t="shared" si="5"/>
        <v>-141</v>
      </c>
      <c r="I21" s="17" t="s">
        <v>88</v>
      </c>
      <c r="J21" s="18" t="s">
        <v>89</v>
      </c>
      <c r="K21" s="17">
        <v>-141</v>
      </c>
      <c r="L21" s="17" t="s">
        <v>90</v>
      </c>
      <c r="M21" s="18" t="s">
        <v>82</v>
      </c>
      <c r="N21" s="18"/>
      <c r="O21" s="19" t="s">
        <v>91</v>
      </c>
      <c r="P21" s="19" t="s">
        <v>92</v>
      </c>
    </row>
    <row r="22" spans="1:16" ht="12.75" customHeight="1" thickBot="1" x14ac:dyDescent="0.25">
      <c r="A22" s="3" t="str">
        <f t="shared" si="0"/>
        <v> AN 202.240 </v>
      </c>
      <c r="B22" s="2" t="str">
        <f t="shared" si="1"/>
        <v>I</v>
      </c>
      <c r="C22" s="3">
        <f t="shared" si="2"/>
        <v>19268.5</v>
      </c>
      <c r="D22" s="4" t="str">
        <f t="shared" si="3"/>
        <v>vis</v>
      </c>
      <c r="E22" s="16">
        <f>VLOOKUP(C22,Active!C$21:E$973,3,FALSE)</f>
        <v>-3236.0261026540811</v>
      </c>
      <c r="F22" s="2" t="s">
        <v>47</v>
      </c>
      <c r="G22" s="4" t="str">
        <f t="shared" si="4"/>
        <v>19268.50</v>
      </c>
      <c r="H22" s="3">
        <f t="shared" si="5"/>
        <v>-136</v>
      </c>
      <c r="I22" s="17" t="s">
        <v>93</v>
      </c>
      <c r="J22" s="18" t="s">
        <v>94</v>
      </c>
      <c r="K22" s="17">
        <v>-136</v>
      </c>
      <c r="L22" s="17" t="s">
        <v>95</v>
      </c>
      <c r="M22" s="18" t="s">
        <v>82</v>
      </c>
      <c r="N22" s="18"/>
      <c r="O22" s="19" t="s">
        <v>91</v>
      </c>
      <c r="P22" s="19" t="s">
        <v>92</v>
      </c>
    </row>
    <row r="23" spans="1:16" ht="12.75" customHeight="1" thickBot="1" x14ac:dyDescent="0.25">
      <c r="A23" s="3" t="str">
        <f t="shared" si="0"/>
        <v> AN 202.240 </v>
      </c>
      <c r="B23" s="2" t="str">
        <f t="shared" si="1"/>
        <v>I</v>
      </c>
      <c r="C23" s="3">
        <f t="shared" si="2"/>
        <v>19299.36</v>
      </c>
      <c r="D23" s="4" t="str">
        <f t="shared" si="3"/>
        <v>vis</v>
      </c>
      <c r="E23" s="16">
        <f>VLOOKUP(C23,Active!C$21:E$973,3,FALSE)</f>
        <v>-3233.0212984726709</v>
      </c>
      <c r="F23" s="2" t="s">
        <v>47</v>
      </c>
      <c r="G23" s="4" t="str">
        <f t="shared" si="4"/>
        <v>19299.36</v>
      </c>
      <c r="H23" s="3">
        <f t="shared" si="5"/>
        <v>-133</v>
      </c>
      <c r="I23" s="17" t="s">
        <v>96</v>
      </c>
      <c r="J23" s="18" t="s">
        <v>97</v>
      </c>
      <c r="K23" s="17">
        <v>-133</v>
      </c>
      <c r="L23" s="17" t="s">
        <v>98</v>
      </c>
      <c r="M23" s="18" t="s">
        <v>82</v>
      </c>
      <c r="N23" s="18"/>
      <c r="O23" s="19" t="s">
        <v>91</v>
      </c>
      <c r="P23" s="19" t="s">
        <v>92</v>
      </c>
    </row>
    <row r="24" spans="1:16" ht="12.75" customHeight="1" thickBot="1" x14ac:dyDescent="0.25">
      <c r="A24" s="3" t="str">
        <f t="shared" si="0"/>
        <v> AN 202.240 </v>
      </c>
      <c r="B24" s="2" t="str">
        <f t="shared" si="1"/>
        <v>I</v>
      </c>
      <c r="C24" s="3">
        <f t="shared" si="2"/>
        <v>19330.3</v>
      </c>
      <c r="D24" s="4" t="str">
        <f t="shared" si="3"/>
        <v>vis</v>
      </c>
      <c r="E24" s="16">
        <f>VLOOKUP(C24,Active!C$21:E$973,3,FALSE)</f>
        <v>-3230.0087047794491</v>
      </c>
      <c r="F24" s="2" t="s">
        <v>47</v>
      </c>
      <c r="G24" s="4" t="str">
        <f t="shared" si="4"/>
        <v>19330.30</v>
      </c>
      <c r="H24" s="3">
        <f t="shared" si="5"/>
        <v>-130</v>
      </c>
      <c r="I24" s="17" t="s">
        <v>99</v>
      </c>
      <c r="J24" s="18" t="s">
        <v>100</v>
      </c>
      <c r="K24" s="17">
        <v>-130</v>
      </c>
      <c r="L24" s="17" t="s">
        <v>101</v>
      </c>
      <c r="M24" s="18" t="s">
        <v>82</v>
      </c>
      <c r="N24" s="18"/>
      <c r="O24" s="19" t="s">
        <v>91</v>
      </c>
      <c r="P24" s="19" t="s">
        <v>92</v>
      </c>
    </row>
    <row r="25" spans="1:16" ht="12.75" customHeight="1" thickBot="1" x14ac:dyDescent="0.25">
      <c r="A25" s="3" t="str">
        <f t="shared" si="0"/>
        <v> AN 202.240 </v>
      </c>
      <c r="B25" s="2" t="str">
        <f t="shared" si="1"/>
        <v>I</v>
      </c>
      <c r="C25" s="3">
        <f t="shared" si="2"/>
        <v>19597.47</v>
      </c>
      <c r="D25" s="4" t="str">
        <f t="shared" si="3"/>
        <v>vis</v>
      </c>
      <c r="E25" s="16">
        <f>VLOOKUP(C25,Active!C$21:E$973,3,FALSE)</f>
        <v>-3203.9946563948965</v>
      </c>
      <c r="F25" s="2" t="s">
        <v>47</v>
      </c>
      <c r="G25" s="4" t="str">
        <f t="shared" si="4"/>
        <v>19597.47</v>
      </c>
      <c r="H25" s="3">
        <f t="shared" si="5"/>
        <v>-104</v>
      </c>
      <c r="I25" s="17" t="s">
        <v>102</v>
      </c>
      <c r="J25" s="18" t="s">
        <v>103</v>
      </c>
      <c r="K25" s="17">
        <v>-104</v>
      </c>
      <c r="L25" s="17" t="s">
        <v>104</v>
      </c>
      <c r="M25" s="18" t="s">
        <v>82</v>
      </c>
      <c r="N25" s="18"/>
      <c r="O25" s="19" t="s">
        <v>91</v>
      </c>
      <c r="P25" s="19" t="s">
        <v>92</v>
      </c>
    </row>
    <row r="26" spans="1:16" ht="12.75" customHeight="1" thickBot="1" x14ac:dyDescent="0.25">
      <c r="A26" s="3" t="str">
        <f t="shared" si="0"/>
        <v> AN 202.240 </v>
      </c>
      <c r="B26" s="2" t="str">
        <f t="shared" si="1"/>
        <v>I</v>
      </c>
      <c r="C26" s="3">
        <f t="shared" si="2"/>
        <v>19607.490000000002</v>
      </c>
      <c r="D26" s="4" t="str">
        <f t="shared" si="3"/>
        <v>vis</v>
      </c>
      <c r="E26" s="16">
        <f>VLOOKUP(C26,Active!C$21:E$973,3,FALSE)</f>
        <v>-3203.0190200404659</v>
      </c>
      <c r="F26" s="2" t="s">
        <v>47</v>
      </c>
      <c r="G26" s="4" t="str">
        <f t="shared" si="4"/>
        <v>19607.49</v>
      </c>
      <c r="H26" s="3">
        <f t="shared" si="5"/>
        <v>-103</v>
      </c>
      <c r="I26" s="17" t="s">
        <v>105</v>
      </c>
      <c r="J26" s="18" t="s">
        <v>106</v>
      </c>
      <c r="K26" s="17">
        <v>-103</v>
      </c>
      <c r="L26" s="17" t="s">
        <v>107</v>
      </c>
      <c r="M26" s="18" t="s">
        <v>82</v>
      </c>
      <c r="N26" s="18"/>
      <c r="O26" s="19" t="s">
        <v>91</v>
      </c>
      <c r="P26" s="19" t="s">
        <v>92</v>
      </c>
    </row>
    <row r="27" spans="1:16" ht="12.75" customHeight="1" thickBot="1" x14ac:dyDescent="0.25">
      <c r="A27" s="3" t="str">
        <f t="shared" si="0"/>
        <v> AN 202.240 </v>
      </c>
      <c r="B27" s="2" t="str">
        <f t="shared" si="1"/>
        <v>I</v>
      </c>
      <c r="C27" s="3">
        <f t="shared" si="2"/>
        <v>19710.22</v>
      </c>
      <c r="D27" s="4" t="str">
        <f t="shared" si="3"/>
        <v>vis</v>
      </c>
      <c r="E27" s="16">
        <f>VLOOKUP(C27,Active!C$21:E$973,3,FALSE)</f>
        <v>-3193.0163131851114</v>
      </c>
      <c r="F27" s="2" t="s">
        <v>47</v>
      </c>
      <c r="G27" s="4" t="str">
        <f t="shared" si="4"/>
        <v>19710.22</v>
      </c>
      <c r="H27" s="3">
        <f t="shared" si="5"/>
        <v>-93</v>
      </c>
      <c r="I27" s="17" t="s">
        <v>108</v>
      </c>
      <c r="J27" s="18" t="s">
        <v>109</v>
      </c>
      <c r="K27" s="17">
        <v>-93</v>
      </c>
      <c r="L27" s="17" t="s">
        <v>110</v>
      </c>
      <c r="M27" s="18" t="s">
        <v>82</v>
      </c>
      <c r="N27" s="18"/>
      <c r="O27" s="19" t="s">
        <v>91</v>
      </c>
      <c r="P27" s="19" t="s">
        <v>92</v>
      </c>
    </row>
    <row r="28" spans="1:16" ht="12.75" customHeight="1" thickBot="1" x14ac:dyDescent="0.25">
      <c r="A28" s="3" t="str">
        <f t="shared" si="0"/>
        <v> AN 202.240 </v>
      </c>
      <c r="B28" s="2" t="str">
        <f t="shared" si="1"/>
        <v>I</v>
      </c>
      <c r="C28" s="3">
        <f t="shared" si="2"/>
        <v>19977.5</v>
      </c>
      <c r="D28" s="4" t="str">
        <f t="shared" si="3"/>
        <v>vis</v>
      </c>
      <c r="E28" s="16">
        <f>VLOOKUP(C28,Active!C$21:E$973,3,FALSE)</f>
        <v>-3166.9915542218178</v>
      </c>
      <c r="F28" s="2" t="s">
        <v>47</v>
      </c>
      <c r="G28" s="4" t="str">
        <f t="shared" si="4"/>
        <v>19977.50</v>
      </c>
      <c r="H28" s="3">
        <f t="shared" si="5"/>
        <v>-67</v>
      </c>
      <c r="I28" s="17" t="s">
        <v>111</v>
      </c>
      <c r="J28" s="18" t="s">
        <v>112</v>
      </c>
      <c r="K28" s="17">
        <v>-67</v>
      </c>
      <c r="L28" s="17" t="s">
        <v>113</v>
      </c>
      <c r="M28" s="18" t="s">
        <v>82</v>
      </c>
      <c r="N28" s="18"/>
      <c r="O28" s="19" t="s">
        <v>91</v>
      </c>
      <c r="P28" s="19" t="s">
        <v>92</v>
      </c>
    </row>
    <row r="29" spans="1:16" ht="12.75" customHeight="1" thickBot="1" x14ac:dyDescent="0.25">
      <c r="A29" s="3" t="str">
        <f t="shared" si="0"/>
        <v> AN 202.240 </v>
      </c>
      <c r="B29" s="2" t="str">
        <f t="shared" si="1"/>
        <v>I</v>
      </c>
      <c r="C29" s="3">
        <f t="shared" si="2"/>
        <v>20008.34</v>
      </c>
      <c r="D29" s="4" t="str">
        <f t="shared" si="3"/>
        <v>vis</v>
      </c>
      <c r="E29" s="16">
        <f>VLOOKUP(C29,Active!C$21:E$973,3,FALSE)</f>
        <v>-3163.9886974183605</v>
      </c>
      <c r="F29" s="2" t="s">
        <v>47</v>
      </c>
      <c r="G29" s="4" t="str">
        <f t="shared" si="4"/>
        <v>20008.34</v>
      </c>
      <c r="H29" s="3">
        <f t="shared" si="5"/>
        <v>-64</v>
      </c>
      <c r="I29" s="17" t="s">
        <v>114</v>
      </c>
      <c r="J29" s="18" t="s">
        <v>115</v>
      </c>
      <c r="K29" s="17">
        <v>-64</v>
      </c>
      <c r="L29" s="17" t="s">
        <v>116</v>
      </c>
      <c r="M29" s="18" t="s">
        <v>82</v>
      </c>
      <c r="N29" s="18"/>
      <c r="O29" s="19" t="s">
        <v>91</v>
      </c>
      <c r="P29" s="19" t="s">
        <v>92</v>
      </c>
    </row>
    <row r="30" spans="1:16" ht="12.75" customHeight="1" thickBot="1" x14ac:dyDescent="0.25">
      <c r="A30" s="3" t="str">
        <f t="shared" si="0"/>
        <v> AN 202.240 </v>
      </c>
      <c r="B30" s="2" t="str">
        <f t="shared" si="1"/>
        <v>I</v>
      </c>
      <c r="C30" s="3">
        <f t="shared" si="2"/>
        <v>20018.419999999998</v>
      </c>
      <c r="D30" s="4" t="str">
        <f t="shared" si="3"/>
        <v>vis</v>
      </c>
      <c r="E30" s="16">
        <f>VLOOKUP(C30,Active!C$21:E$973,3,FALSE)</f>
        <v>-3163.0072189300713</v>
      </c>
      <c r="F30" s="2" t="s">
        <v>47</v>
      </c>
      <c r="G30" s="4" t="str">
        <f t="shared" si="4"/>
        <v>20018.42</v>
      </c>
      <c r="H30" s="3">
        <f t="shared" si="5"/>
        <v>-63</v>
      </c>
      <c r="I30" s="17" t="s">
        <v>117</v>
      </c>
      <c r="J30" s="18" t="s">
        <v>118</v>
      </c>
      <c r="K30" s="17">
        <v>-63</v>
      </c>
      <c r="L30" s="17" t="s">
        <v>119</v>
      </c>
      <c r="M30" s="18" t="s">
        <v>82</v>
      </c>
      <c r="N30" s="18"/>
      <c r="O30" s="19" t="s">
        <v>91</v>
      </c>
      <c r="P30" s="19" t="s">
        <v>92</v>
      </c>
    </row>
    <row r="31" spans="1:16" ht="12.75" customHeight="1" thickBot="1" x14ac:dyDescent="0.25">
      <c r="A31" s="3" t="str">
        <f t="shared" si="0"/>
        <v> AN 202.240 </v>
      </c>
      <c r="B31" s="2" t="str">
        <f t="shared" si="1"/>
        <v>I</v>
      </c>
      <c r="C31" s="3">
        <f t="shared" si="2"/>
        <v>20028.46</v>
      </c>
      <c r="D31" s="4" t="str">
        <f t="shared" si="3"/>
        <v>vis</v>
      </c>
      <c r="E31" s="16">
        <f>VLOOKUP(C31,Active!C$21:E$973,3,FALSE)</f>
        <v>-3162.0296351976876</v>
      </c>
      <c r="F31" s="2" t="s">
        <v>47</v>
      </c>
      <c r="G31" s="4" t="str">
        <f t="shared" si="4"/>
        <v>20028.46</v>
      </c>
      <c r="H31" s="3">
        <f t="shared" si="5"/>
        <v>-62</v>
      </c>
      <c r="I31" s="17" t="s">
        <v>120</v>
      </c>
      <c r="J31" s="18" t="s">
        <v>121</v>
      </c>
      <c r="K31" s="17">
        <v>-62</v>
      </c>
      <c r="L31" s="17" t="s">
        <v>122</v>
      </c>
      <c r="M31" s="18" t="s">
        <v>82</v>
      </c>
      <c r="N31" s="18"/>
      <c r="O31" s="19" t="s">
        <v>91</v>
      </c>
      <c r="P31" s="19" t="s">
        <v>92</v>
      </c>
    </row>
    <row r="32" spans="1:16" ht="12.75" customHeight="1" thickBot="1" x14ac:dyDescent="0.25">
      <c r="A32" s="3" t="str">
        <f t="shared" si="0"/>
        <v> AN 202.240 </v>
      </c>
      <c r="B32" s="2" t="str">
        <f t="shared" si="1"/>
        <v>I</v>
      </c>
      <c r="C32" s="3">
        <f t="shared" si="2"/>
        <v>20039.27</v>
      </c>
      <c r="D32" s="4" t="str">
        <f t="shared" si="3"/>
        <v>vis</v>
      </c>
      <c r="E32" s="16">
        <f>VLOOKUP(C32,Active!C$21:E$973,3,FALSE)</f>
        <v>-3160.9770774141152</v>
      </c>
      <c r="F32" s="2" t="s">
        <v>47</v>
      </c>
      <c r="G32" s="4" t="str">
        <f t="shared" si="4"/>
        <v>20039.27</v>
      </c>
      <c r="H32" s="3">
        <f t="shared" si="5"/>
        <v>-61</v>
      </c>
      <c r="I32" s="17" t="s">
        <v>123</v>
      </c>
      <c r="J32" s="18" t="s">
        <v>124</v>
      </c>
      <c r="K32" s="17">
        <v>-61</v>
      </c>
      <c r="L32" s="17" t="s">
        <v>125</v>
      </c>
      <c r="M32" s="18" t="s">
        <v>82</v>
      </c>
      <c r="N32" s="18"/>
      <c r="O32" s="19" t="s">
        <v>91</v>
      </c>
      <c r="P32" s="19" t="s">
        <v>92</v>
      </c>
    </row>
    <row r="33" spans="1:16" ht="12.75" customHeight="1" thickBot="1" x14ac:dyDescent="0.25">
      <c r="A33" s="3" t="str">
        <f t="shared" si="0"/>
        <v> AN 202.240 </v>
      </c>
      <c r="B33" s="2" t="str">
        <f t="shared" si="1"/>
        <v>I</v>
      </c>
      <c r="C33" s="3">
        <f t="shared" si="2"/>
        <v>20059.259999999998</v>
      </c>
      <c r="D33" s="4" t="str">
        <f t="shared" si="3"/>
        <v>vis</v>
      </c>
      <c r="E33" s="16">
        <f>VLOOKUP(C33,Active!C$21:E$973,3,FALSE)</f>
        <v>-3159.0306731501369</v>
      </c>
      <c r="F33" s="2" t="s">
        <v>47</v>
      </c>
      <c r="G33" s="4" t="str">
        <f t="shared" si="4"/>
        <v>20059.26</v>
      </c>
      <c r="H33" s="3">
        <f t="shared" si="5"/>
        <v>-59</v>
      </c>
      <c r="I33" s="17" t="s">
        <v>126</v>
      </c>
      <c r="J33" s="18" t="s">
        <v>127</v>
      </c>
      <c r="K33" s="17">
        <v>-59</v>
      </c>
      <c r="L33" s="17" t="s">
        <v>128</v>
      </c>
      <c r="M33" s="18" t="s">
        <v>82</v>
      </c>
      <c r="N33" s="18"/>
      <c r="O33" s="19" t="s">
        <v>91</v>
      </c>
      <c r="P33" s="19" t="s">
        <v>92</v>
      </c>
    </row>
    <row r="34" spans="1:16" ht="12.75" customHeight="1" thickBot="1" x14ac:dyDescent="0.25">
      <c r="A34" s="3" t="str">
        <f t="shared" si="0"/>
        <v> AN 202.240 </v>
      </c>
      <c r="B34" s="2" t="str">
        <f t="shared" si="1"/>
        <v>II</v>
      </c>
      <c r="C34" s="3">
        <f t="shared" si="2"/>
        <v>20065.259999999998</v>
      </c>
      <c r="D34" s="4" t="str">
        <f t="shared" si="3"/>
        <v>vis</v>
      </c>
      <c r="E34" s="16">
        <f>VLOOKUP(C34,Active!C$21:E$973,3,FALSE)</f>
        <v>-3158.4464597642504</v>
      </c>
      <c r="F34" s="2" t="s">
        <v>47</v>
      </c>
      <c r="G34" s="4" t="str">
        <f t="shared" si="4"/>
        <v>20065.26</v>
      </c>
      <c r="H34" s="3">
        <f t="shared" si="5"/>
        <v>-58.5</v>
      </c>
      <c r="I34" s="17" t="s">
        <v>129</v>
      </c>
      <c r="J34" s="18" t="s">
        <v>130</v>
      </c>
      <c r="K34" s="17">
        <v>-58.5</v>
      </c>
      <c r="L34" s="17" t="s">
        <v>131</v>
      </c>
      <c r="M34" s="18" t="s">
        <v>82</v>
      </c>
      <c r="N34" s="18"/>
      <c r="O34" s="19" t="s">
        <v>91</v>
      </c>
      <c r="P34" s="19" t="s">
        <v>92</v>
      </c>
    </row>
    <row r="35" spans="1:16" ht="12.75" customHeight="1" thickBot="1" x14ac:dyDescent="0.25">
      <c r="A35" s="3" t="str">
        <f t="shared" si="0"/>
        <v> AN 202.240 </v>
      </c>
      <c r="B35" s="2" t="str">
        <f t="shared" si="1"/>
        <v>I</v>
      </c>
      <c r="C35" s="3">
        <f t="shared" si="2"/>
        <v>20070.25</v>
      </c>
      <c r="D35" s="4" t="str">
        <f t="shared" si="3"/>
        <v>vis</v>
      </c>
      <c r="E35" s="16">
        <f>VLOOKUP(C35,Active!C$21:E$973,3,FALSE)</f>
        <v>-3157.9605889649879</v>
      </c>
      <c r="F35" s="2" t="s">
        <v>47</v>
      </c>
      <c r="G35" s="4" t="str">
        <f t="shared" si="4"/>
        <v>20070.25</v>
      </c>
      <c r="H35" s="3">
        <f t="shared" si="5"/>
        <v>-58</v>
      </c>
      <c r="I35" s="17" t="s">
        <v>132</v>
      </c>
      <c r="J35" s="18" t="s">
        <v>133</v>
      </c>
      <c r="K35" s="17">
        <v>-58</v>
      </c>
      <c r="L35" s="17" t="s">
        <v>134</v>
      </c>
      <c r="M35" s="18" t="s">
        <v>82</v>
      </c>
      <c r="N35" s="18"/>
      <c r="O35" s="19" t="s">
        <v>91</v>
      </c>
      <c r="P35" s="19" t="s">
        <v>92</v>
      </c>
    </row>
    <row r="36" spans="1:16" ht="12.75" customHeight="1" thickBot="1" x14ac:dyDescent="0.25">
      <c r="A36" s="3" t="str">
        <f t="shared" si="0"/>
        <v> AN 214.7 </v>
      </c>
      <c r="B36" s="2" t="str">
        <f t="shared" si="1"/>
        <v>I</v>
      </c>
      <c r="C36" s="3">
        <f t="shared" si="2"/>
        <v>20665.47</v>
      </c>
      <c r="D36" s="4" t="str">
        <f t="shared" si="3"/>
        <v>vis</v>
      </c>
      <c r="E36" s="16">
        <f>VLOOKUP(C36,Active!C$21:E$973,3,FALSE)</f>
        <v>-3100.0046737070866</v>
      </c>
      <c r="F36" s="2" t="s">
        <v>47</v>
      </c>
      <c r="G36" s="4" t="str">
        <f t="shared" si="4"/>
        <v>20665.47</v>
      </c>
      <c r="H36" s="3">
        <f t="shared" si="5"/>
        <v>0</v>
      </c>
      <c r="I36" s="17" t="s">
        <v>135</v>
      </c>
      <c r="J36" s="18" t="s">
        <v>136</v>
      </c>
      <c r="K36" s="17">
        <v>0</v>
      </c>
      <c r="L36" s="17" t="s">
        <v>137</v>
      </c>
      <c r="M36" s="18" t="s">
        <v>82</v>
      </c>
      <c r="N36" s="18"/>
      <c r="O36" s="19" t="s">
        <v>138</v>
      </c>
      <c r="P36" s="19" t="s">
        <v>139</v>
      </c>
    </row>
    <row r="37" spans="1:16" ht="12.75" customHeight="1" thickBot="1" x14ac:dyDescent="0.25">
      <c r="A37" s="3" t="str">
        <f t="shared" si="0"/>
        <v> AN 214.7 </v>
      </c>
      <c r="B37" s="2" t="str">
        <f t="shared" si="1"/>
        <v>I</v>
      </c>
      <c r="C37" s="3">
        <f t="shared" si="2"/>
        <v>21425.42</v>
      </c>
      <c r="D37" s="4" t="str">
        <f t="shared" si="3"/>
        <v>vis</v>
      </c>
      <c r="E37" s="16">
        <f>VLOOKUP(C37,Active!C$21:E$973,3,FALSE)</f>
        <v>-3026.00917993967</v>
      </c>
      <c r="F37" s="2" t="s">
        <v>47</v>
      </c>
      <c r="G37" s="4" t="str">
        <f t="shared" si="4"/>
        <v>21425.42</v>
      </c>
      <c r="H37" s="3">
        <f t="shared" si="5"/>
        <v>74</v>
      </c>
      <c r="I37" s="17" t="s">
        <v>140</v>
      </c>
      <c r="J37" s="18" t="s">
        <v>141</v>
      </c>
      <c r="K37" s="17">
        <v>74</v>
      </c>
      <c r="L37" s="17" t="s">
        <v>142</v>
      </c>
      <c r="M37" s="18" t="s">
        <v>82</v>
      </c>
      <c r="N37" s="18"/>
      <c r="O37" s="19" t="s">
        <v>138</v>
      </c>
      <c r="P37" s="19" t="s">
        <v>139</v>
      </c>
    </row>
    <row r="38" spans="1:16" ht="12.75" customHeight="1" thickBot="1" x14ac:dyDescent="0.25">
      <c r="A38" s="3" t="str">
        <f t="shared" si="0"/>
        <v> AN 214.7 </v>
      </c>
      <c r="B38" s="2" t="str">
        <f t="shared" si="1"/>
        <v>I</v>
      </c>
      <c r="C38" s="3">
        <f t="shared" si="2"/>
        <v>21456.400000000001</v>
      </c>
      <c r="D38" s="4" t="str">
        <f t="shared" si="3"/>
        <v>vis</v>
      </c>
      <c r="E38" s="16">
        <f>VLOOKUP(C38,Active!C$21:E$973,3,FALSE)</f>
        <v>-3022.9926914905423</v>
      </c>
      <c r="F38" s="2" t="s">
        <v>47</v>
      </c>
      <c r="G38" s="4" t="str">
        <f t="shared" si="4"/>
        <v>21456.40</v>
      </c>
      <c r="H38" s="3">
        <f t="shared" si="5"/>
        <v>77</v>
      </c>
      <c r="I38" s="17" t="s">
        <v>143</v>
      </c>
      <c r="J38" s="18" t="s">
        <v>144</v>
      </c>
      <c r="K38" s="17">
        <v>77</v>
      </c>
      <c r="L38" s="17" t="s">
        <v>90</v>
      </c>
      <c r="M38" s="18" t="s">
        <v>82</v>
      </c>
      <c r="N38" s="18"/>
      <c r="O38" s="19" t="s">
        <v>138</v>
      </c>
      <c r="P38" s="19" t="s">
        <v>139</v>
      </c>
    </row>
    <row r="39" spans="1:16" ht="12.75" customHeight="1" thickBot="1" x14ac:dyDescent="0.25">
      <c r="A39" s="3" t="str">
        <f t="shared" si="0"/>
        <v> AN 214.7 </v>
      </c>
      <c r="B39" s="2" t="str">
        <f t="shared" si="1"/>
        <v>I</v>
      </c>
      <c r="C39" s="3">
        <f t="shared" si="2"/>
        <v>21497.3</v>
      </c>
      <c r="D39" s="4" t="str">
        <f t="shared" si="3"/>
        <v>vis</v>
      </c>
      <c r="E39" s="16">
        <f>VLOOKUP(C39,Active!C$21:E$973,3,FALSE)</f>
        <v>-3019.0103035767488</v>
      </c>
      <c r="F39" s="2" t="s">
        <v>47</v>
      </c>
      <c r="G39" s="4" t="str">
        <f t="shared" si="4"/>
        <v>21497.30</v>
      </c>
      <c r="H39" s="3">
        <f t="shared" si="5"/>
        <v>81</v>
      </c>
      <c r="I39" s="17" t="s">
        <v>145</v>
      </c>
      <c r="J39" s="18" t="s">
        <v>146</v>
      </c>
      <c r="K39" s="17">
        <v>81</v>
      </c>
      <c r="L39" s="17" t="s">
        <v>75</v>
      </c>
      <c r="M39" s="18" t="s">
        <v>82</v>
      </c>
      <c r="N39" s="18"/>
      <c r="O39" s="19" t="s">
        <v>138</v>
      </c>
      <c r="P39" s="19" t="s">
        <v>139</v>
      </c>
    </row>
    <row r="40" spans="1:16" ht="12.75" customHeight="1" thickBot="1" x14ac:dyDescent="0.25">
      <c r="A40" s="3" t="str">
        <f t="shared" si="0"/>
        <v> AN 214.7 </v>
      </c>
      <c r="B40" s="2" t="str">
        <f t="shared" si="1"/>
        <v>I</v>
      </c>
      <c r="C40" s="3">
        <f t="shared" si="2"/>
        <v>21846.45</v>
      </c>
      <c r="D40" s="4" t="str">
        <f t="shared" si="3"/>
        <v>vis</v>
      </c>
      <c r="E40" s="16">
        <f>VLOOKUP(C40,Active!C$21:E$973,3,FALSE)</f>
        <v>-2985.0139529630324</v>
      </c>
      <c r="F40" s="2" t="s">
        <v>47</v>
      </c>
      <c r="G40" s="4" t="str">
        <f t="shared" si="4"/>
        <v>21846.45</v>
      </c>
      <c r="H40" s="3">
        <f t="shared" si="5"/>
        <v>115</v>
      </c>
      <c r="I40" s="17" t="s">
        <v>147</v>
      </c>
      <c r="J40" s="18" t="s">
        <v>148</v>
      </c>
      <c r="K40" s="17">
        <v>115</v>
      </c>
      <c r="L40" s="17" t="s">
        <v>149</v>
      </c>
      <c r="M40" s="18" t="s">
        <v>82</v>
      </c>
      <c r="N40" s="18"/>
      <c r="O40" s="19" t="s">
        <v>138</v>
      </c>
      <c r="P40" s="19" t="s">
        <v>139</v>
      </c>
    </row>
    <row r="41" spans="1:16" ht="12.75" customHeight="1" thickBot="1" x14ac:dyDescent="0.25">
      <c r="A41" s="3" t="str">
        <f t="shared" si="0"/>
        <v> AAC 1.34 </v>
      </c>
      <c r="B41" s="2" t="str">
        <f t="shared" si="1"/>
        <v>II</v>
      </c>
      <c r="C41" s="3">
        <f t="shared" si="2"/>
        <v>24325.51</v>
      </c>
      <c r="D41" s="4" t="str">
        <f t="shared" si="3"/>
        <v>vis</v>
      </c>
      <c r="E41" s="16">
        <f>VLOOKUP(C41,Active!C$21:E$973,3,FALSE)</f>
        <v>-2743.6306135603713</v>
      </c>
      <c r="F41" s="2" t="s">
        <v>47</v>
      </c>
      <c r="G41" s="4" t="str">
        <f t="shared" si="4"/>
        <v>24325.51</v>
      </c>
      <c r="H41" s="3">
        <f t="shared" si="5"/>
        <v>356.5</v>
      </c>
      <c r="I41" s="17" t="s">
        <v>150</v>
      </c>
      <c r="J41" s="18" t="s">
        <v>151</v>
      </c>
      <c r="K41" s="17">
        <v>356.5</v>
      </c>
      <c r="L41" s="17" t="s">
        <v>152</v>
      </c>
      <c r="M41" s="18" t="s">
        <v>82</v>
      </c>
      <c r="N41" s="18"/>
      <c r="O41" s="19" t="s">
        <v>153</v>
      </c>
      <c r="P41" s="19" t="s">
        <v>154</v>
      </c>
    </row>
    <row r="42" spans="1:16" ht="12.75" customHeight="1" thickBot="1" x14ac:dyDescent="0.25">
      <c r="A42" s="3" t="str">
        <f t="shared" si="0"/>
        <v> AJ 39.85 </v>
      </c>
      <c r="B42" s="2" t="str">
        <f t="shared" si="1"/>
        <v>I</v>
      </c>
      <c r="C42" s="3">
        <f t="shared" si="2"/>
        <v>25461.71</v>
      </c>
      <c r="D42" s="4" t="str">
        <f t="shared" si="3"/>
        <v>vis</v>
      </c>
      <c r="E42" s="16">
        <f>VLOOKUP(C42,Active!C$21:E$973,3,FALSE)</f>
        <v>-2633.0000720529843</v>
      </c>
      <c r="F42" s="2" t="s">
        <v>47</v>
      </c>
      <c r="G42" s="4" t="str">
        <f t="shared" si="4"/>
        <v>25461.71</v>
      </c>
      <c r="H42" s="3">
        <f t="shared" si="5"/>
        <v>467</v>
      </c>
      <c r="I42" s="17" t="s">
        <v>155</v>
      </c>
      <c r="J42" s="18" t="s">
        <v>156</v>
      </c>
      <c r="K42" s="17">
        <v>467</v>
      </c>
      <c r="L42" s="17" t="s">
        <v>157</v>
      </c>
      <c r="M42" s="18" t="s">
        <v>82</v>
      </c>
      <c r="N42" s="18"/>
      <c r="O42" s="19" t="s">
        <v>158</v>
      </c>
      <c r="P42" s="19" t="s">
        <v>159</v>
      </c>
    </row>
    <row r="43" spans="1:16" ht="12.75" customHeight="1" thickBot="1" x14ac:dyDescent="0.25">
      <c r="A43" s="3" t="str">
        <f t="shared" si="0"/>
        <v> AA 26.342 </v>
      </c>
      <c r="B43" s="2" t="str">
        <f t="shared" si="1"/>
        <v>I</v>
      </c>
      <c r="C43" s="3">
        <f t="shared" si="2"/>
        <v>25719.46</v>
      </c>
      <c r="D43" s="4" t="str">
        <f t="shared" si="3"/>
        <v>vis</v>
      </c>
      <c r="E43" s="16">
        <f>VLOOKUP(C43,Active!C$21:E$973,3,FALSE)</f>
        <v>-2607.9032386842732</v>
      </c>
      <c r="F43" s="2" t="s">
        <v>47</v>
      </c>
      <c r="G43" s="4" t="str">
        <f t="shared" si="4"/>
        <v>25719.460</v>
      </c>
      <c r="H43" s="3">
        <f t="shared" si="5"/>
        <v>492</v>
      </c>
      <c r="I43" s="17" t="s">
        <v>160</v>
      </c>
      <c r="J43" s="18" t="s">
        <v>161</v>
      </c>
      <c r="K43" s="17">
        <v>492</v>
      </c>
      <c r="L43" s="17" t="s">
        <v>162</v>
      </c>
      <c r="M43" s="18" t="s">
        <v>82</v>
      </c>
      <c r="N43" s="18"/>
      <c r="O43" s="19" t="s">
        <v>153</v>
      </c>
      <c r="P43" s="19" t="s">
        <v>163</v>
      </c>
    </row>
    <row r="44" spans="1:16" ht="12.75" customHeight="1" thickBot="1" x14ac:dyDescent="0.25">
      <c r="A44" s="3" t="str">
        <f t="shared" si="0"/>
        <v> HA 113.77 </v>
      </c>
      <c r="B44" s="2" t="str">
        <f t="shared" si="1"/>
        <v>I</v>
      </c>
      <c r="C44" s="3">
        <f t="shared" si="2"/>
        <v>28234.65</v>
      </c>
      <c r="D44" s="4" t="str">
        <f t="shared" si="3"/>
        <v>vis</v>
      </c>
      <c r="E44" s="16">
        <f>VLOOKUP(C44,Active!C$21:E$973,3,FALSE)</f>
        <v>-2363.0019610095983</v>
      </c>
      <c r="F44" s="2" t="s">
        <v>47</v>
      </c>
      <c r="G44" s="4" t="str">
        <f t="shared" si="4"/>
        <v>28234.650</v>
      </c>
      <c r="H44" s="3">
        <f t="shared" si="5"/>
        <v>737</v>
      </c>
      <c r="I44" s="17" t="s">
        <v>164</v>
      </c>
      <c r="J44" s="18" t="s">
        <v>165</v>
      </c>
      <c r="K44" s="17">
        <v>737</v>
      </c>
      <c r="L44" s="17" t="s">
        <v>166</v>
      </c>
      <c r="M44" s="18" t="s">
        <v>48</v>
      </c>
      <c r="N44" s="18"/>
      <c r="O44" s="19" t="s">
        <v>167</v>
      </c>
      <c r="P44" s="19" t="s">
        <v>168</v>
      </c>
    </row>
    <row r="45" spans="1:16" ht="12.75" customHeight="1" thickBot="1" x14ac:dyDescent="0.25">
      <c r="A45" s="3" t="str">
        <f t="shared" si="0"/>
        <v> AA 26.342 </v>
      </c>
      <c r="B45" s="2" t="str">
        <f t="shared" si="1"/>
        <v>I</v>
      </c>
      <c r="C45" s="3">
        <f t="shared" si="2"/>
        <v>28347.631000000001</v>
      </c>
      <c r="D45" s="4" t="str">
        <f t="shared" si="3"/>
        <v>vis</v>
      </c>
      <c r="E45" s="16">
        <f>VLOOKUP(C45,Active!C$21:E$973,3,FALSE)</f>
        <v>-2352.0011255844565</v>
      </c>
      <c r="F45" s="2" t="s">
        <v>47</v>
      </c>
      <c r="G45" s="4" t="str">
        <f t="shared" si="4"/>
        <v>28347.631</v>
      </c>
      <c r="H45" s="3">
        <f t="shared" si="5"/>
        <v>748</v>
      </c>
      <c r="I45" s="17" t="s">
        <v>169</v>
      </c>
      <c r="J45" s="18" t="s">
        <v>170</v>
      </c>
      <c r="K45" s="17">
        <v>748</v>
      </c>
      <c r="L45" s="17" t="s">
        <v>171</v>
      </c>
      <c r="M45" s="18" t="s">
        <v>82</v>
      </c>
      <c r="N45" s="18"/>
      <c r="O45" s="19" t="s">
        <v>153</v>
      </c>
      <c r="P45" s="19" t="s">
        <v>163</v>
      </c>
    </row>
    <row r="46" spans="1:16" ht="12.75" customHeight="1" thickBot="1" x14ac:dyDescent="0.25">
      <c r="A46" s="3" t="str">
        <f t="shared" si="0"/>
        <v> AAC 5.195 </v>
      </c>
      <c r="B46" s="2" t="str">
        <f t="shared" si="1"/>
        <v>I</v>
      </c>
      <c r="C46" s="3">
        <f t="shared" si="2"/>
        <v>34961.760000000002</v>
      </c>
      <c r="D46" s="4" t="str">
        <f t="shared" si="3"/>
        <v>vis</v>
      </c>
      <c r="E46" s="16">
        <f>VLOOKUP(C46,Active!C$21:E$973,3,FALSE)</f>
        <v>-1707.9906759543608</v>
      </c>
      <c r="F46" s="2" t="s">
        <v>47</v>
      </c>
      <c r="G46" s="4" t="str">
        <f t="shared" si="4"/>
        <v>34961.76</v>
      </c>
      <c r="H46" s="3">
        <f t="shared" si="5"/>
        <v>1392</v>
      </c>
      <c r="I46" s="17" t="s">
        <v>172</v>
      </c>
      <c r="J46" s="18" t="s">
        <v>173</v>
      </c>
      <c r="K46" s="17">
        <v>1392</v>
      </c>
      <c r="L46" s="17" t="s">
        <v>174</v>
      </c>
      <c r="M46" s="18" t="s">
        <v>82</v>
      </c>
      <c r="N46" s="18"/>
      <c r="O46" s="19" t="s">
        <v>175</v>
      </c>
      <c r="P46" s="19" t="s">
        <v>176</v>
      </c>
    </row>
    <row r="47" spans="1:16" ht="12.75" customHeight="1" thickBot="1" x14ac:dyDescent="0.25">
      <c r="A47" s="3" t="str">
        <f t="shared" si="0"/>
        <v> AA 7.190 </v>
      </c>
      <c r="B47" s="2" t="str">
        <f t="shared" si="1"/>
        <v>I</v>
      </c>
      <c r="C47" s="3">
        <f t="shared" si="2"/>
        <v>35742.269999999997</v>
      </c>
      <c r="D47" s="4" t="str">
        <f t="shared" si="3"/>
        <v>vis</v>
      </c>
      <c r="E47" s="16">
        <f>VLOOKUP(C47,Active!C$21:E$973,3,FALSE)</f>
        <v>-1631.9932776513065</v>
      </c>
      <c r="F47" s="2" t="s">
        <v>47</v>
      </c>
      <c r="G47" s="4" t="str">
        <f t="shared" si="4"/>
        <v>35742.27</v>
      </c>
      <c r="H47" s="3">
        <f t="shared" si="5"/>
        <v>1468</v>
      </c>
      <c r="I47" s="17" t="s">
        <v>177</v>
      </c>
      <c r="J47" s="18" t="s">
        <v>178</v>
      </c>
      <c r="K47" s="17">
        <v>1468</v>
      </c>
      <c r="L47" s="17" t="s">
        <v>179</v>
      </c>
      <c r="M47" s="18" t="s">
        <v>82</v>
      </c>
      <c r="N47" s="18"/>
      <c r="O47" s="19" t="s">
        <v>175</v>
      </c>
      <c r="P47" s="19" t="s">
        <v>180</v>
      </c>
    </row>
    <row r="48" spans="1:16" x14ac:dyDescent="0.2">
      <c r="B48" s="2"/>
      <c r="E48" s="16"/>
      <c r="F48" s="2"/>
    </row>
    <row r="49" spans="2:6" x14ac:dyDescent="0.2">
      <c r="B49" s="2"/>
      <c r="E49" s="16"/>
      <c r="F49" s="2"/>
    </row>
    <row r="50" spans="2:6" x14ac:dyDescent="0.2">
      <c r="B50" s="2"/>
      <c r="E50" s="16"/>
      <c r="F50" s="2"/>
    </row>
    <row r="51" spans="2:6" x14ac:dyDescent="0.2">
      <c r="B51" s="2"/>
      <c r="E51" s="16"/>
      <c r="F51" s="2"/>
    </row>
    <row r="52" spans="2:6" x14ac:dyDescent="0.2">
      <c r="B52" s="2"/>
      <c r="E52" s="16"/>
      <c r="F52" s="2"/>
    </row>
    <row r="53" spans="2:6" x14ac:dyDescent="0.2">
      <c r="B53" s="2"/>
      <c r="E53" s="16"/>
      <c r="F53" s="2"/>
    </row>
    <row r="54" spans="2:6" x14ac:dyDescent="0.2">
      <c r="B54" s="2"/>
      <c r="E54" s="16"/>
      <c r="F54" s="2"/>
    </row>
    <row r="55" spans="2:6" x14ac:dyDescent="0.2">
      <c r="B55" s="2"/>
      <c r="E55" s="16"/>
      <c r="F55" s="2"/>
    </row>
    <row r="56" spans="2:6" x14ac:dyDescent="0.2">
      <c r="B56" s="2"/>
      <c r="E56" s="16"/>
      <c r="F56" s="2"/>
    </row>
    <row r="57" spans="2:6" x14ac:dyDescent="0.2">
      <c r="B57" s="2"/>
      <c r="E57" s="16"/>
      <c r="F57" s="2"/>
    </row>
    <row r="58" spans="2:6" x14ac:dyDescent="0.2">
      <c r="B58" s="2"/>
      <c r="E58" s="16"/>
      <c r="F58" s="2"/>
    </row>
    <row r="59" spans="2:6" x14ac:dyDescent="0.2">
      <c r="B59" s="2"/>
      <c r="E59" s="16"/>
      <c r="F59" s="2"/>
    </row>
    <row r="60" spans="2:6" x14ac:dyDescent="0.2">
      <c r="B60" s="2"/>
      <c r="E60" s="16"/>
      <c r="F60" s="2"/>
    </row>
    <row r="61" spans="2:6" x14ac:dyDescent="0.2">
      <c r="B61" s="2"/>
      <c r="E61" s="16"/>
      <c r="F61" s="2"/>
    </row>
    <row r="62" spans="2:6" x14ac:dyDescent="0.2">
      <c r="B62" s="2"/>
      <c r="E62" s="16"/>
      <c r="F62" s="2"/>
    </row>
    <row r="63" spans="2:6" x14ac:dyDescent="0.2">
      <c r="B63" s="2"/>
      <c r="E63" s="16"/>
      <c r="F63" s="2"/>
    </row>
    <row r="64" spans="2:6" x14ac:dyDescent="0.2">
      <c r="B64" s="2"/>
      <c r="E64" s="16"/>
      <c r="F64" s="2"/>
    </row>
    <row r="65" spans="2:6" x14ac:dyDescent="0.2">
      <c r="B65" s="2"/>
      <c r="E65" s="16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</sheetData>
  <phoneticPr fontId="7" type="noConversion"/>
  <hyperlinks>
    <hyperlink ref="A3" r:id="rId1"/>
    <hyperlink ref="P19" r:id="rId2" display="http://vsolj.cetus-net.org/no47.pdf"/>
    <hyperlink ref="P20" r:id="rId3" display="http://vsolj.cetus-net.org/no47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2024-03-05T06:28:21Z</dcterms:modified>
</cp:coreProperties>
</file>