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9995528-7A12-4D1C-8D52-48EF5024BBE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6" i="1"/>
  <c r="G14" i="2"/>
  <c r="C14" i="2"/>
  <c r="G13" i="2"/>
  <c r="C13" i="2"/>
  <c r="G12" i="2"/>
  <c r="C12" i="2"/>
  <c r="G11" i="2"/>
  <c r="C11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F11" i="1"/>
  <c r="Q40" i="1"/>
  <c r="Q38" i="1"/>
  <c r="G11" i="1"/>
  <c r="E14" i="1"/>
  <c r="E15" i="1" s="1"/>
  <c r="C17" i="1"/>
  <c r="Q37" i="1"/>
  <c r="Q39" i="1"/>
  <c r="D4" i="1"/>
  <c r="C8" i="1"/>
  <c r="C4" i="1"/>
  <c r="C7" i="1"/>
  <c r="B2" i="1"/>
  <c r="Q35" i="1"/>
  <c r="E18" i="2"/>
  <c r="E24" i="2"/>
  <c r="E21" i="1"/>
  <c r="F21" i="1"/>
  <c r="E26" i="1"/>
  <c r="F26" i="1"/>
  <c r="G26" i="1"/>
  <c r="I26" i="1"/>
  <c r="G28" i="1"/>
  <c r="I28" i="1"/>
  <c r="E34" i="1"/>
  <c r="F34" i="1"/>
  <c r="G23" i="1"/>
  <c r="I23" i="1"/>
  <c r="E29" i="1"/>
  <c r="F29" i="1"/>
  <c r="G29" i="1"/>
  <c r="I29" i="1"/>
  <c r="E37" i="1"/>
  <c r="F37" i="1"/>
  <c r="G39" i="1"/>
  <c r="K39" i="1"/>
  <c r="G21" i="1"/>
  <c r="E24" i="1"/>
  <c r="F24" i="1"/>
  <c r="E32" i="1"/>
  <c r="F32" i="1"/>
  <c r="G32" i="1"/>
  <c r="I32" i="1"/>
  <c r="G34" i="1"/>
  <c r="I34" i="1"/>
  <c r="E40" i="1"/>
  <c r="F40" i="1"/>
  <c r="E27" i="1"/>
  <c r="F27" i="1"/>
  <c r="G27" i="1"/>
  <c r="I27" i="1"/>
  <c r="E36" i="1"/>
  <c r="F36" i="1"/>
  <c r="G37" i="1"/>
  <c r="K37" i="1"/>
  <c r="E22" i="1"/>
  <c r="F22" i="1"/>
  <c r="G22" i="1"/>
  <c r="I22" i="1"/>
  <c r="G24" i="1"/>
  <c r="I24" i="1"/>
  <c r="E30" i="1"/>
  <c r="F30" i="1"/>
  <c r="E38" i="1"/>
  <c r="F38" i="1"/>
  <c r="G38" i="1"/>
  <c r="K38" i="1"/>
  <c r="G40" i="1"/>
  <c r="K40" i="1"/>
  <c r="E25" i="1"/>
  <c r="F25" i="1"/>
  <c r="E33" i="1"/>
  <c r="F33" i="1"/>
  <c r="G33" i="1"/>
  <c r="I33" i="1"/>
  <c r="G36" i="1"/>
  <c r="I36" i="1"/>
  <c r="E28" i="1"/>
  <c r="F28" i="1"/>
  <c r="G30" i="1"/>
  <c r="I30" i="1"/>
  <c r="E35" i="1"/>
  <c r="F35" i="1"/>
  <c r="G35" i="1"/>
  <c r="H35" i="1"/>
  <c r="E23" i="1"/>
  <c r="F23" i="1"/>
  <c r="G25" i="1"/>
  <c r="I25" i="1"/>
  <c r="E31" i="1"/>
  <c r="F31" i="1"/>
  <c r="G31" i="1"/>
  <c r="I31" i="1"/>
  <c r="E39" i="1"/>
  <c r="F39" i="1"/>
  <c r="E19" i="2"/>
  <c r="E26" i="2"/>
  <c r="E20" i="2"/>
  <c r="E14" i="2"/>
  <c r="E15" i="2"/>
  <c r="E21" i="2"/>
  <c r="E28" i="2"/>
  <c r="E22" i="2"/>
  <c r="E17" i="2"/>
  <c r="E29" i="2"/>
  <c r="E11" i="2"/>
  <c r="E16" i="2"/>
  <c r="E13" i="2"/>
  <c r="I21" i="1"/>
  <c r="E23" i="2"/>
  <c r="E27" i="2"/>
  <c r="E12" i="2"/>
  <c r="E25" i="2"/>
  <c r="C11" i="1"/>
  <c r="C12" i="1" l="1"/>
  <c r="C16" i="1" l="1"/>
  <c r="D18" i="1" s="1"/>
  <c r="O24" i="1"/>
  <c r="O27" i="1"/>
  <c r="O29" i="1"/>
  <c r="O38" i="1"/>
  <c r="C15" i="1"/>
  <c r="O21" i="1"/>
  <c r="O30" i="1"/>
  <c r="O35" i="1"/>
  <c r="O40" i="1"/>
  <c r="O25" i="1"/>
  <c r="O31" i="1"/>
  <c r="O37" i="1"/>
  <c r="O26" i="1"/>
  <c r="O39" i="1"/>
  <c r="O36" i="1"/>
  <c r="O33" i="1"/>
  <c r="O32" i="1"/>
  <c r="O22" i="1"/>
  <c r="O23" i="1"/>
  <c r="O34" i="1"/>
  <c r="O28" i="1"/>
  <c r="C18" i="1" l="1"/>
  <c r="E16" i="1"/>
  <c r="E17" i="1" s="1"/>
</calcChain>
</file>

<file path=xl/sharedStrings.xml><?xml version="1.0" encoding="utf-8"?>
<sst xmlns="http://schemas.openxmlformats.org/spreadsheetml/2006/main" count="235" uniqueCount="130">
  <si>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</si>
  <si>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</si>
  <si>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</si>
  <si>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</si>
  <si>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</si>
  <si>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</si>
  <si>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</si>
  <si>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</si>
  <si>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</si>
  <si>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</si>
  <si>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</si>
  <si>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</si>
  <si>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</si>
  <si>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</si>
  <si>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</si>
  <si>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</si>
  <si>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</si>
  <si>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</si>
  <si>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</si>
  <si>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</si>
  <si>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</si>
  <si>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</si>
  <si>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</si>
  <si>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</si>
  <si>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</si>
  <si>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</si>
  <si>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</si>
  <si>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</si>
  <si>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</si>
  <si>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</si>
  <si>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</si>
  <si>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</si>
  <si>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</si>
  <si>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</si>
  <si>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</si>
  <si>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</si>
  <si>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</si>
  <si>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</si>
  <si>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CQ Ser / GSC 5688-1025               </t>
  </si>
  <si>
    <t xml:space="preserve">EB/SD:    </t>
  </si>
  <si>
    <t>IBVS 5690</t>
  </si>
  <si>
    <t>IBVS 5843</t>
  </si>
  <si>
    <t>Add cycle</t>
  </si>
  <si>
    <t>Old Cycle</t>
  </si>
  <si>
    <t>IBVS 6029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</si>
  <si>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</si>
  <si>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</si>
  <si>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</si>
  <si>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</si>
  <si>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</si>
  <si>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</si>
  <si>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</si>
  <si>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</si>
  <si>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</si>
  <si>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</si>
  <si>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</si>
  <si>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2425771.438 </t>
  </si>
  <si>
    <t> 08.06.1929 22:30 </t>
  </si>
  <si>
    <t> 0.107 </t>
  </si>
  <si>
    <t>P </t>
  </si>
  <si>
    <t> P.Shajn </t>
  </si>
  <si>
    <t> PZ 4.344 </t>
  </si>
  <si>
    <t>2426499.385 </t>
  </si>
  <si>
    <t> 06.06.1931 21:14 </t>
  </si>
  <si>
    <t> -0.099 </t>
  </si>
  <si>
    <t>2427308.276 </t>
  </si>
  <si>
    <t> 23.08.1933 18:37 </t>
  </si>
  <si>
    <t> 0.071 </t>
  </si>
  <si>
    <t>2429104.27 </t>
  </si>
  <si>
    <t> 24.07.1938 18:28 </t>
  </si>
  <si>
    <t> 0.01 </t>
  </si>
  <si>
    <t> W.Zessewitsch </t>
  </si>
  <si>
    <t> IODE 4.3.18 </t>
  </si>
  <si>
    <t>2429785.33 </t>
  </si>
  <si>
    <t> 04.06.1940 19:55 </t>
  </si>
  <si>
    <t> 0.04 </t>
  </si>
  <si>
    <t>2429791.34 </t>
  </si>
  <si>
    <t> 10.06.1940 20:09 </t>
  </si>
  <si>
    <t> -0.03 </t>
  </si>
  <si>
    <t>2430165.35 </t>
  </si>
  <si>
    <t> 19.06.1941 20:24 </t>
  </si>
  <si>
    <t> 0.02 </t>
  </si>
  <si>
    <t>2430900.32 </t>
  </si>
  <si>
    <t> 24.06.1943 19:40 </t>
  </si>
  <si>
    <t> -0.00 </t>
  </si>
  <si>
    <t>V </t>
  </si>
  <si>
    <t>2430903.35 </t>
  </si>
  <si>
    <t> 27.06.1943 20:24 </t>
  </si>
  <si>
    <t> -0.01 </t>
  </si>
  <si>
    <t>2430926.19 </t>
  </si>
  <si>
    <t> 20.07.1943 16:33 </t>
  </si>
  <si>
    <t>2430932.26 </t>
  </si>
  <si>
    <t> 26.07.1943 18:14 </t>
  </si>
  <si>
    <t>2430941.31 </t>
  </si>
  <si>
    <t> 04.08.1943 19:26 </t>
  </si>
  <si>
    <t> -0.06 </t>
  </si>
  <si>
    <t>2430967.20 </t>
  </si>
  <si>
    <t> 30.08.1943 16:48 </t>
  </si>
  <si>
    <t>2431015.10 </t>
  </si>
  <si>
    <t> 17.10.1943 14:24 </t>
  </si>
  <si>
    <t> 0.00 </t>
  </si>
  <si>
    <t>2452888.9121 </t>
  </si>
  <si>
    <t> 06.09.2003 09:53 </t>
  </si>
  <si>
    <t> 3.7698 </t>
  </si>
  <si>
    <t>C </t>
  </si>
  <si>
    <t> P.Sobotka (ESA INTEGRAL) </t>
  </si>
  <si>
    <t>IBVS 5809 </t>
  </si>
  <si>
    <t>2453515.9580 </t>
  </si>
  <si>
    <t> 25.05.2005 10:59 </t>
  </si>
  <si>
    <t> 3.7530 </t>
  </si>
  <si>
    <t>E </t>
  </si>
  <si>
    <t>?</t>
  </si>
  <si>
    <t> T.Krajci </t>
  </si>
  <si>
    <t>IBVS 5690 </t>
  </si>
  <si>
    <t>2453522.7975 </t>
  </si>
  <si>
    <t> 01.06.2005 07:08 </t>
  </si>
  <si>
    <t> 3.7519 </t>
  </si>
  <si>
    <t>2453944.6360 </t>
  </si>
  <si>
    <t> 28.07.2006 03:15 </t>
  </si>
  <si>
    <t> 3.7482 </t>
  </si>
  <si>
    <t>-I</t>
  </si>
  <si>
    <t> W.Ogloza et al. </t>
  </si>
  <si>
    <t>IBVS 5843 </t>
  </si>
  <si>
    <t>2456075.8392 </t>
  </si>
  <si>
    <t> 28.05.2012 08:08 </t>
  </si>
  <si>
    <t>33117.5</t>
  </si>
  <si>
    <t> 3.6983 </t>
  </si>
  <si>
    <t> R.Diethelm </t>
  </si>
  <si>
    <t>IBVS 6029 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</si>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</sst>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2" applyNumberFormat="0" applyFont="0" applyFill="0" applyAlignment="0" applyProtection="0"/>
  </cellStyleXfs>
  <cellXfs count="61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5" fillId="0" borderId="0" xfId="0" applyFont="1">
      <alignment vertical="top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7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7" fillId="2" borderId="12" xfId="7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CQ Ser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16">
                    <c:v>6.9999999999999999E-4</c:v>
                  </c:pt>
                  <c:pt idx="17">
                    <c:v>5.9999999999999995E-4</c:v>
                  </c:pt>
                  <c:pt idx="18">
                    <c:v>1.1999999999999999E-3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16">
                    <c:v>6.9999999999999999E-4</c:v>
                  </c:pt>
                  <c:pt idx="17">
                    <c:v>5.9999999999999995E-4</c:v>
                  </c:pt>
                  <c:pt idx="18">
                    <c:v>1.1999999999999999E-3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-35167</c:v>
                </c:pt>
                <c:pt idx="1">
                  <c:v>-34209</c:v>
                </c:pt>
                <c:pt idx="2">
                  <c:v>-33145</c:v>
                </c:pt>
                <c:pt idx="3">
                  <c:v>-30782</c:v>
                </c:pt>
                <c:pt idx="4">
                  <c:v>-29886</c:v>
                </c:pt>
                <c:pt idx="5">
                  <c:v>-29878</c:v>
                </c:pt>
                <c:pt idx="6">
                  <c:v>-29386</c:v>
                </c:pt>
                <c:pt idx="7">
                  <c:v>-28419</c:v>
                </c:pt>
                <c:pt idx="8">
                  <c:v>-28415</c:v>
                </c:pt>
                <c:pt idx="9">
                  <c:v>-28385</c:v>
                </c:pt>
                <c:pt idx="10">
                  <c:v>-28377</c:v>
                </c:pt>
                <c:pt idx="11">
                  <c:v>-28365</c:v>
                </c:pt>
                <c:pt idx="12">
                  <c:v>-28331</c:v>
                </c:pt>
                <c:pt idx="13">
                  <c:v>-28268</c:v>
                </c:pt>
                <c:pt idx="14">
                  <c:v>0</c:v>
                </c:pt>
                <c:pt idx="15">
                  <c:v>511</c:v>
                </c:pt>
                <c:pt idx="16">
                  <c:v>1336</c:v>
                </c:pt>
                <c:pt idx="17">
                  <c:v>1345</c:v>
                </c:pt>
                <c:pt idx="18">
                  <c:v>1900</c:v>
                </c:pt>
                <c:pt idx="19">
                  <c:v>4704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1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96E-4D9D-B625-8DCDD70F758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6">
                    <c:v>6.9999999999999999E-4</c:v>
                  </c:pt>
                  <c:pt idx="17">
                    <c:v>5.9999999999999995E-4</c:v>
                  </c:pt>
                  <c:pt idx="18">
                    <c:v>1.1999999999999999E-3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6">
                    <c:v>6.9999999999999999E-4</c:v>
                  </c:pt>
                  <c:pt idx="17">
                    <c:v>5.9999999999999995E-4</c:v>
                  </c:pt>
                  <c:pt idx="18">
                    <c:v>1.1999999999999999E-3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-35167</c:v>
                </c:pt>
                <c:pt idx="1">
                  <c:v>-34209</c:v>
                </c:pt>
                <c:pt idx="2">
                  <c:v>-33145</c:v>
                </c:pt>
                <c:pt idx="3">
                  <c:v>-30782</c:v>
                </c:pt>
                <c:pt idx="4">
                  <c:v>-29886</c:v>
                </c:pt>
                <c:pt idx="5">
                  <c:v>-29878</c:v>
                </c:pt>
                <c:pt idx="6">
                  <c:v>-29386</c:v>
                </c:pt>
                <c:pt idx="7">
                  <c:v>-28419</c:v>
                </c:pt>
                <c:pt idx="8">
                  <c:v>-28415</c:v>
                </c:pt>
                <c:pt idx="9">
                  <c:v>-28385</c:v>
                </c:pt>
                <c:pt idx="10">
                  <c:v>-28377</c:v>
                </c:pt>
                <c:pt idx="11">
                  <c:v>-28365</c:v>
                </c:pt>
                <c:pt idx="12">
                  <c:v>-28331</c:v>
                </c:pt>
                <c:pt idx="13">
                  <c:v>-28268</c:v>
                </c:pt>
                <c:pt idx="14">
                  <c:v>0</c:v>
                </c:pt>
                <c:pt idx="15">
                  <c:v>511</c:v>
                </c:pt>
                <c:pt idx="16">
                  <c:v>1336</c:v>
                </c:pt>
                <c:pt idx="17">
                  <c:v>1345</c:v>
                </c:pt>
                <c:pt idx="18">
                  <c:v>1900</c:v>
                </c:pt>
                <c:pt idx="19">
                  <c:v>4704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0">
                  <c:v>1.4287199996033451E-2</c:v>
                </c:pt>
                <c:pt idx="1">
                  <c:v>-0.17772560000230442</c:v>
                </c:pt>
                <c:pt idx="2">
                  <c:v>7.7319999982137233E-3</c:v>
                </c:pt>
                <c:pt idx="3">
                  <c:v>-2.3828800000046613E-2</c:v>
                </c:pt>
                <c:pt idx="4">
                  <c:v>2.0977600001060637E-2</c:v>
                </c:pt>
                <c:pt idx="5">
                  <c:v>-4.9515200000314508E-2</c:v>
                </c:pt>
                <c:pt idx="6">
                  <c:v>1.0177599997405196E-2</c:v>
                </c:pt>
                <c:pt idx="7">
                  <c:v>6.1039999854983762E-4</c:v>
                </c:pt>
                <c:pt idx="8">
                  <c:v>-9.6360000025015324E-3</c:v>
                </c:pt>
                <c:pt idx="9">
                  <c:v>2.851599999848986E-2</c:v>
                </c:pt>
                <c:pt idx="10">
                  <c:v>1.802319999478641E-2</c:v>
                </c:pt>
                <c:pt idx="11">
                  <c:v>-5.2716000001964858E-2</c:v>
                </c:pt>
                <c:pt idx="12">
                  <c:v>-4.8104000015882775E-3</c:v>
                </c:pt>
                <c:pt idx="13">
                  <c:v>1.1308799996186281E-2</c:v>
                </c:pt>
                <c:pt idx="15">
                  <c:v>1.0622399997373577E-2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96E-4D9D-B625-8DCDD70F758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6">
                    <c:v>6.9999999999999999E-4</c:v>
                  </c:pt>
                  <c:pt idx="17">
                    <c:v>5.9999999999999995E-4</c:v>
                  </c:pt>
                  <c:pt idx="18">
                    <c:v>1.1999999999999999E-3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6">
                    <c:v>6.9999999999999999E-4</c:v>
                  </c:pt>
                  <c:pt idx="17">
                    <c:v>5.9999999999999995E-4</c:v>
                  </c:pt>
                  <c:pt idx="18">
                    <c:v>1.1999999999999999E-3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-35167</c:v>
                </c:pt>
                <c:pt idx="1">
                  <c:v>-34209</c:v>
                </c:pt>
                <c:pt idx="2">
                  <c:v>-33145</c:v>
                </c:pt>
                <c:pt idx="3">
                  <c:v>-30782</c:v>
                </c:pt>
                <c:pt idx="4">
                  <c:v>-29886</c:v>
                </c:pt>
                <c:pt idx="5">
                  <c:v>-29878</c:v>
                </c:pt>
                <c:pt idx="6">
                  <c:v>-29386</c:v>
                </c:pt>
                <c:pt idx="7">
                  <c:v>-28419</c:v>
                </c:pt>
                <c:pt idx="8">
                  <c:v>-28415</c:v>
                </c:pt>
                <c:pt idx="9">
                  <c:v>-28385</c:v>
                </c:pt>
                <c:pt idx="10">
                  <c:v>-28377</c:v>
                </c:pt>
                <c:pt idx="11">
                  <c:v>-28365</c:v>
                </c:pt>
                <c:pt idx="12">
                  <c:v>-28331</c:v>
                </c:pt>
                <c:pt idx="13">
                  <c:v>-28268</c:v>
                </c:pt>
                <c:pt idx="14">
                  <c:v>0</c:v>
                </c:pt>
                <c:pt idx="15">
                  <c:v>511</c:v>
                </c:pt>
                <c:pt idx="16">
                  <c:v>1336</c:v>
                </c:pt>
                <c:pt idx="17">
                  <c:v>1345</c:v>
                </c:pt>
                <c:pt idx="18">
                  <c:v>1900</c:v>
                </c:pt>
                <c:pt idx="19">
                  <c:v>4704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96E-4D9D-B625-8DCDD70F758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6">
                    <c:v>6.9999999999999999E-4</c:v>
                  </c:pt>
                  <c:pt idx="17">
                    <c:v>5.9999999999999995E-4</c:v>
                  </c:pt>
                  <c:pt idx="18">
                    <c:v>1.1999999999999999E-3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6">
                    <c:v>6.9999999999999999E-4</c:v>
                  </c:pt>
                  <c:pt idx="17">
                    <c:v>5.9999999999999995E-4</c:v>
                  </c:pt>
                  <c:pt idx="18">
                    <c:v>1.1999999999999999E-3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-35167</c:v>
                </c:pt>
                <c:pt idx="1">
                  <c:v>-34209</c:v>
                </c:pt>
                <c:pt idx="2">
                  <c:v>-33145</c:v>
                </c:pt>
                <c:pt idx="3">
                  <c:v>-30782</c:v>
                </c:pt>
                <c:pt idx="4">
                  <c:v>-29886</c:v>
                </c:pt>
                <c:pt idx="5">
                  <c:v>-29878</c:v>
                </c:pt>
                <c:pt idx="6">
                  <c:v>-29386</c:v>
                </c:pt>
                <c:pt idx="7">
                  <c:v>-28419</c:v>
                </c:pt>
                <c:pt idx="8">
                  <c:v>-28415</c:v>
                </c:pt>
                <c:pt idx="9">
                  <c:v>-28385</c:v>
                </c:pt>
                <c:pt idx="10">
                  <c:v>-28377</c:v>
                </c:pt>
                <c:pt idx="11">
                  <c:v>-28365</c:v>
                </c:pt>
                <c:pt idx="12">
                  <c:v>-28331</c:v>
                </c:pt>
                <c:pt idx="13">
                  <c:v>-28268</c:v>
                </c:pt>
                <c:pt idx="14">
                  <c:v>0</c:v>
                </c:pt>
                <c:pt idx="15">
                  <c:v>511</c:v>
                </c:pt>
                <c:pt idx="16">
                  <c:v>1336</c:v>
                </c:pt>
                <c:pt idx="17">
                  <c:v>1345</c:v>
                </c:pt>
                <c:pt idx="18">
                  <c:v>1900</c:v>
                </c:pt>
                <c:pt idx="19">
                  <c:v>4704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16">
                  <c:v>5.702399997971952E-3</c:v>
                </c:pt>
                <c:pt idx="17">
                  <c:v>4.6480000019073486E-3</c:v>
                </c:pt>
                <c:pt idx="18">
                  <c:v>8.9599999992060475E-3</c:v>
                </c:pt>
                <c:pt idx="19">
                  <c:v>-5.6639999820617959E-4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96E-4D9D-B625-8DCDD70F758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6">
                    <c:v>6.9999999999999999E-4</c:v>
                  </c:pt>
                  <c:pt idx="17">
                    <c:v>5.9999999999999995E-4</c:v>
                  </c:pt>
                  <c:pt idx="18">
                    <c:v>1.1999999999999999E-3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6">
                    <c:v>6.9999999999999999E-4</c:v>
                  </c:pt>
                  <c:pt idx="17">
                    <c:v>5.9999999999999995E-4</c:v>
                  </c:pt>
                  <c:pt idx="18">
                    <c:v>1.1999999999999999E-3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-35167</c:v>
                </c:pt>
                <c:pt idx="1">
                  <c:v>-34209</c:v>
                </c:pt>
                <c:pt idx="2">
                  <c:v>-33145</c:v>
                </c:pt>
                <c:pt idx="3">
                  <c:v>-30782</c:v>
                </c:pt>
                <c:pt idx="4">
                  <c:v>-29886</c:v>
                </c:pt>
                <c:pt idx="5">
                  <c:v>-29878</c:v>
                </c:pt>
                <c:pt idx="6">
                  <c:v>-29386</c:v>
                </c:pt>
                <c:pt idx="7">
                  <c:v>-28419</c:v>
                </c:pt>
                <c:pt idx="8">
                  <c:v>-28415</c:v>
                </c:pt>
                <c:pt idx="9">
                  <c:v>-28385</c:v>
                </c:pt>
                <c:pt idx="10">
                  <c:v>-28377</c:v>
                </c:pt>
                <c:pt idx="11">
                  <c:v>-28365</c:v>
                </c:pt>
                <c:pt idx="12">
                  <c:v>-28331</c:v>
                </c:pt>
                <c:pt idx="13">
                  <c:v>-28268</c:v>
                </c:pt>
                <c:pt idx="14">
                  <c:v>0</c:v>
                </c:pt>
                <c:pt idx="15">
                  <c:v>511</c:v>
                </c:pt>
                <c:pt idx="16">
                  <c:v>1336</c:v>
                </c:pt>
                <c:pt idx="17">
                  <c:v>1345</c:v>
                </c:pt>
                <c:pt idx="18">
                  <c:v>1900</c:v>
                </c:pt>
                <c:pt idx="19">
                  <c:v>4704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96E-4D9D-B625-8DCDD70F758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6">
                    <c:v>6.9999999999999999E-4</c:v>
                  </c:pt>
                  <c:pt idx="17">
                    <c:v>5.9999999999999995E-4</c:v>
                  </c:pt>
                  <c:pt idx="18">
                    <c:v>1.1999999999999999E-3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6">
                    <c:v>6.9999999999999999E-4</c:v>
                  </c:pt>
                  <c:pt idx="17">
                    <c:v>5.9999999999999995E-4</c:v>
                  </c:pt>
                  <c:pt idx="18">
                    <c:v>1.1999999999999999E-3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-35167</c:v>
                </c:pt>
                <c:pt idx="1">
                  <c:v>-34209</c:v>
                </c:pt>
                <c:pt idx="2">
                  <c:v>-33145</c:v>
                </c:pt>
                <c:pt idx="3">
                  <c:v>-30782</c:v>
                </c:pt>
                <c:pt idx="4">
                  <c:v>-29886</c:v>
                </c:pt>
                <c:pt idx="5">
                  <c:v>-29878</c:v>
                </c:pt>
                <c:pt idx="6">
                  <c:v>-29386</c:v>
                </c:pt>
                <c:pt idx="7">
                  <c:v>-28419</c:v>
                </c:pt>
                <c:pt idx="8">
                  <c:v>-28415</c:v>
                </c:pt>
                <c:pt idx="9">
                  <c:v>-28385</c:v>
                </c:pt>
                <c:pt idx="10">
                  <c:v>-28377</c:v>
                </c:pt>
                <c:pt idx="11">
                  <c:v>-28365</c:v>
                </c:pt>
                <c:pt idx="12">
                  <c:v>-28331</c:v>
                </c:pt>
                <c:pt idx="13">
                  <c:v>-28268</c:v>
                </c:pt>
                <c:pt idx="14">
                  <c:v>0</c:v>
                </c:pt>
                <c:pt idx="15">
                  <c:v>511</c:v>
                </c:pt>
                <c:pt idx="16">
                  <c:v>1336</c:v>
                </c:pt>
                <c:pt idx="17">
                  <c:v>1345</c:v>
                </c:pt>
                <c:pt idx="18">
                  <c:v>1900</c:v>
                </c:pt>
                <c:pt idx="19">
                  <c:v>4704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96E-4D9D-B625-8DCDD70F758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6">
                    <c:v>6.9999999999999999E-4</c:v>
                  </c:pt>
                  <c:pt idx="17">
                    <c:v>5.9999999999999995E-4</c:v>
                  </c:pt>
                  <c:pt idx="18">
                    <c:v>1.1999999999999999E-3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6">
                    <c:v>6.9999999999999999E-4</c:v>
                  </c:pt>
                  <c:pt idx="17">
                    <c:v>5.9999999999999995E-4</c:v>
                  </c:pt>
                  <c:pt idx="18">
                    <c:v>1.1999999999999999E-3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-35167</c:v>
                </c:pt>
                <c:pt idx="1">
                  <c:v>-34209</c:v>
                </c:pt>
                <c:pt idx="2">
                  <c:v>-33145</c:v>
                </c:pt>
                <c:pt idx="3">
                  <c:v>-30782</c:v>
                </c:pt>
                <c:pt idx="4">
                  <c:v>-29886</c:v>
                </c:pt>
                <c:pt idx="5">
                  <c:v>-29878</c:v>
                </c:pt>
                <c:pt idx="6">
                  <c:v>-29386</c:v>
                </c:pt>
                <c:pt idx="7">
                  <c:v>-28419</c:v>
                </c:pt>
                <c:pt idx="8">
                  <c:v>-28415</c:v>
                </c:pt>
                <c:pt idx="9">
                  <c:v>-28385</c:v>
                </c:pt>
                <c:pt idx="10">
                  <c:v>-28377</c:v>
                </c:pt>
                <c:pt idx="11">
                  <c:v>-28365</c:v>
                </c:pt>
                <c:pt idx="12">
                  <c:v>-28331</c:v>
                </c:pt>
                <c:pt idx="13">
                  <c:v>-28268</c:v>
                </c:pt>
                <c:pt idx="14">
                  <c:v>0</c:v>
                </c:pt>
                <c:pt idx="15">
                  <c:v>511</c:v>
                </c:pt>
                <c:pt idx="16">
                  <c:v>1336</c:v>
                </c:pt>
                <c:pt idx="17">
                  <c:v>1345</c:v>
                </c:pt>
                <c:pt idx="18">
                  <c:v>1900</c:v>
                </c:pt>
                <c:pt idx="19">
                  <c:v>4704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96E-4D9D-B625-8DCDD70F758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-35167</c:v>
                </c:pt>
                <c:pt idx="1">
                  <c:v>-34209</c:v>
                </c:pt>
                <c:pt idx="2">
                  <c:v>-33145</c:v>
                </c:pt>
                <c:pt idx="3">
                  <c:v>-30782</c:v>
                </c:pt>
                <c:pt idx="4">
                  <c:v>-29886</c:v>
                </c:pt>
                <c:pt idx="5">
                  <c:v>-29878</c:v>
                </c:pt>
                <c:pt idx="6">
                  <c:v>-29386</c:v>
                </c:pt>
                <c:pt idx="7">
                  <c:v>-28419</c:v>
                </c:pt>
                <c:pt idx="8">
                  <c:v>-28415</c:v>
                </c:pt>
                <c:pt idx="9">
                  <c:v>-28385</c:v>
                </c:pt>
                <c:pt idx="10">
                  <c:v>-28377</c:v>
                </c:pt>
                <c:pt idx="11">
                  <c:v>-28365</c:v>
                </c:pt>
                <c:pt idx="12">
                  <c:v>-28331</c:v>
                </c:pt>
                <c:pt idx="13">
                  <c:v>-28268</c:v>
                </c:pt>
                <c:pt idx="14">
                  <c:v>0</c:v>
                </c:pt>
                <c:pt idx="15">
                  <c:v>511</c:v>
                </c:pt>
                <c:pt idx="16">
                  <c:v>1336</c:v>
                </c:pt>
                <c:pt idx="17">
                  <c:v>1345</c:v>
                </c:pt>
                <c:pt idx="18">
                  <c:v>1900</c:v>
                </c:pt>
                <c:pt idx="19">
                  <c:v>4704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-1.9860335801785665E-2</c:v>
                </c:pt>
                <c:pt idx="1">
                  <c:v>-1.9138944430569703E-2</c:v>
                </c:pt>
                <c:pt idx="2">
                  <c:v>-1.8337733137277649E-2</c:v>
                </c:pt>
                <c:pt idx="3">
                  <c:v>-1.6558351289487135E-2</c:v>
                </c:pt>
                <c:pt idx="4">
                  <c:v>-1.5883647042504355E-2</c:v>
                </c:pt>
                <c:pt idx="5">
                  <c:v>-1.5877622897442011E-2</c:v>
                </c:pt>
                <c:pt idx="6">
                  <c:v>-1.5507137976107714E-2</c:v>
                </c:pt>
                <c:pt idx="7">
                  <c:v>-1.4778969441696614E-2</c:v>
                </c:pt>
                <c:pt idx="8">
                  <c:v>-1.4775957369165439E-2</c:v>
                </c:pt>
                <c:pt idx="9">
                  <c:v>-1.475336682518164E-2</c:v>
                </c:pt>
                <c:pt idx="10">
                  <c:v>-1.4747342680119296E-2</c:v>
                </c:pt>
                <c:pt idx="11">
                  <c:v>-1.4738306462525776E-2</c:v>
                </c:pt>
                <c:pt idx="12">
                  <c:v>-1.4712703846010805E-2</c:v>
                </c:pt>
                <c:pt idx="13">
                  <c:v>-1.4665263703644826E-2</c:v>
                </c:pt>
                <c:pt idx="14">
                  <c:v>6.6210528741555957E-3</c:v>
                </c:pt>
                <c:pt idx="15">
                  <c:v>7.0058451400129614E-3</c:v>
                </c:pt>
                <c:pt idx="16">
                  <c:v>7.6270850995674173E-3</c:v>
                </c:pt>
                <c:pt idx="17">
                  <c:v>7.6338622627625564E-3</c:v>
                </c:pt>
                <c:pt idx="18">
                  <c:v>8.0517873264628267E-3</c:v>
                </c:pt>
                <c:pt idx="19">
                  <c:v>1.0163250170815182E-2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96E-4D9D-B625-8DCDD70F7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6286696"/>
        <c:axId val="1"/>
      </c:scatterChart>
      <c:valAx>
        <c:axId val="716286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62866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007518796992482"/>
          <c:y val="0.92375366568914952"/>
          <c:w val="0.6676691729323309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17</xdr:col>
      <xdr:colOff>257175</xdr:colOff>
      <xdr:row>18</xdr:row>
      <xdr:rowOff>114300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683033E-3611-060C-CA7F-322D20B7CA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5690" TargetMode="External"/><Relationship Id="rId2" Type="http://schemas.openxmlformats.org/officeDocument/2006/relationships/hyperlink" Target="http://www.konkoly.hu/cgi-bin/IBVS?5690" TargetMode="External"/><Relationship Id="rId1" Type="http://schemas.openxmlformats.org/officeDocument/2006/relationships/hyperlink" Target="http://www.konkoly.hu/cgi-bin/IBVS?5809" TargetMode="External"/><Relationship Id="rId5" Type="http://schemas.openxmlformats.org/officeDocument/2006/relationships/hyperlink" Target="http://www.konkoly.hu/cgi-bin/IBVS?6029" TargetMode="External"/><Relationship Id="rId4" Type="http://schemas.openxmlformats.org/officeDocument/2006/relationships/hyperlink" Target="http://www.konkoly.hu/cgi-bin/IBVS?58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2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2" sqref="E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s="31" customFormat="1" ht="20.25" x14ac:dyDescent="0.2">
      <c r="A1" s="60" t="s">
        <v>38</v>
      </c>
      <c r="F1" s="32">
        <v>52500.51</v>
      </c>
      <c r="G1" s="32">
        <v>0.7600616</v>
      </c>
      <c r="H1" s="32" t="s">
        <v>39</v>
      </c>
    </row>
    <row r="2" spans="1:8" s="31" customFormat="1" ht="12.95" customHeight="1" x14ac:dyDescent="0.2">
      <c r="A2" s="31" t="s">
        <v>22</v>
      </c>
      <c r="B2" s="31" t="str">
        <f>H1</f>
        <v xml:space="preserve">EB/SD:    </v>
      </c>
      <c r="C2" s="32"/>
      <c r="D2" s="32"/>
    </row>
    <row r="3" spans="1:8" s="31" customFormat="1" ht="12.95" customHeight="1" thickBot="1" x14ac:dyDescent="0.25"/>
    <row r="4" spans="1:8" s="31" customFormat="1" ht="12.95" customHeight="1" thickTop="1" thickBot="1" x14ac:dyDescent="0.25">
      <c r="A4" s="33" t="s">
        <v>37</v>
      </c>
      <c r="C4" s="34">
        <f>F1</f>
        <v>52500.51</v>
      </c>
      <c r="D4" s="35">
        <f>G1</f>
        <v>0.7600616</v>
      </c>
    </row>
    <row r="5" spans="1:8" s="31" customFormat="1" ht="12.95" customHeight="1" x14ac:dyDescent="0.2">
      <c r="C5" s="36" t="s">
        <v>35</v>
      </c>
    </row>
    <row r="6" spans="1:8" s="31" customFormat="1" ht="12.95" customHeight="1" x14ac:dyDescent="0.2">
      <c r="A6" s="33" t="s">
        <v>0</v>
      </c>
    </row>
    <row r="7" spans="1:8" s="31" customFormat="1" ht="12.95" customHeight="1" x14ac:dyDescent="0.2">
      <c r="A7" s="31" t="s">
        <v>1</v>
      </c>
      <c r="C7" s="31">
        <f>C4</f>
        <v>52500.51</v>
      </c>
    </row>
    <row r="8" spans="1:8" s="31" customFormat="1" ht="12.95" customHeight="1" x14ac:dyDescent="0.2">
      <c r="A8" s="31" t="s">
        <v>2</v>
      </c>
      <c r="C8" s="31">
        <f>D4</f>
        <v>0.7600616</v>
      </c>
      <c r="D8" s="37"/>
    </row>
    <row r="9" spans="1:8" s="31" customFormat="1" ht="12.95" customHeight="1" x14ac:dyDescent="0.2">
      <c r="A9" s="38" t="s">
        <v>27</v>
      </c>
      <c r="C9" s="37">
        <v>-9.5</v>
      </c>
      <c r="D9" s="31" t="s">
        <v>28</v>
      </c>
    </row>
    <row r="10" spans="1:8" s="31" customFormat="1" ht="12.95" customHeight="1" thickBot="1" x14ac:dyDescent="0.25">
      <c r="C10" s="39" t="s">
        <v>18</v>
      </c>
      <c r="D10" s="39" t="s">
        <v>19</v>
      </c>
    </row>
    <row r="11" spans="1:8" s="31" customFormat="1" ht="12.95" customHeight="1" x14ac:dyDescent="0.2">
      <c r="A11" s="31" t="s">
        <v>14</v>
      </c>
      <c r="C11" s="40">
        <f ca="1">INTERCEPT(INDIRECT($G$11):G992,INDIRECT($F$11):F992)</f>
        <v>6.6210528741555957E-3</v>
      </c>
      <c r="D11" s="32"/>
      <c r="F11" s="41" t="str">
        <f>"F"&amp;E19</f>
        <v>F21</v>
      </c>
      <c r="G11" s="40" t="str">
        <f>"G"&amp;E19</f>
        <v>G21</v>
      </c>
    </row>
    <row r="12" spans="1:8" s="31" customFormat="1" ht="12.95" customHeight="1" x14ac:dyDescent="0.2">
      <c r="A12" s="31" t="s">
        <v>15</v>
      </c>
      <c r="C12" s="40">
        <f ca="1">SLOPE(INDIRECT($G$11):G992,INDIRECT($F$11):F992)</f>
        <v>7.5301813279327944E-7</v>
      </c>
      <c r="D12" s="32"/>
    </row>
    <row r="13" spans="1:8" s="31" customFormat="1" ht="12.95" customHeight="1" x14ac:dyDescent="0.2">
      <c r="A13" s="31" t="s">
        <v>17</v>
      </c>
      <c r="C13" s="32" t="s">
        <v>12</v>
      </c>
      <c r="D13" s="42" t="s">
        <v>42</v>
      </c>
      <c r="E13" s="37">
        <v>1</v>
      </c>
    </row>
    <row r="14" spans="1:8" s="31" customFormat="1" ht="12.95" customHeight="1" x14ac:dyDescent="0.2">
      <c r="D14" s="42" t="s">
        <v>29</v>
      </c>
      <c r="E14" s="43">
        <f ca="1">NOW()+15018.5+$C$9/24</f>
        <v>60374.818391319444</v>
      </c>
    </row>
    <row r="15" spans="1:8" s="31" customFormat="1" ht="12.95" customHeight="1" x14ac:dyDescent="0.2">
      <c r="A15" s="44" t="s">
        <v>16</v>
      </c>
      <c r="C15" s="45">
        <f ca="1">(C7+C11)+(C8+C12)*INT(MAX(F21:F3533))</f>
        <v>56075.849929650176</v>
      </c>
      <c r="D15" s="42" t="s">
        <v>43</v>
      </c>
      <c r="E15" s="43">
        <f ca="1">ROUND(2*(E14-$C$7)/$C$8,0)/2+E13</f>
        <v>10361</v>
      </c>
    </row>
    <row r="16" spans="1:8" s="31" customFormat="1" ht="12.95" customHeight="1" x14ac:dyDescent="0.2">
      <c r="A16" s="33" t="s">
        <v>3</v>
      </c>
      <c r="C16" s="46">
        <f ca="1">+C8+C12</f>
        <v>0.76006235301813285</v>
      </c>
      <c r="D16" s="42" t="s">
        <v>30</v>
      </c>
      <c r="E16" s="40">
        <f ca="1">ROUND(2*(E14-$C$15)/$C$16,0)/2+E13</f>
        <v>5657</v>
      </c>
    </row>
    <row r="17" spans="1:17" s="31" customFormat="1" ht="12.95" customHeight="1" thickBot="1" x14ac:dyDescent="0.25">
      <c r="A17" s="42" t="s">
        <v>26</v>
      </c>
      <c r="C17" s="31">
        <f>COUNT(C21:C2191)</f>
        <v>20</v>
      </c>
      <c r="D17" s="42" t="s">
        <v>31</v>
      </c>
      <c r="E17" s="47">
        <f ca="1">+$C$15+$C$16*E16-15018.5-$C$9/24</f>
        <v>45357.418494007092</v>
      </c>
    </row>
    <row r="18" spans="1:17" s="31" customFormat="1" ht="12.95" customHeight="1" thickTop="1" thickBot="1" x14ac:dyDescent="0.25">
      <c r="A18" s="33" t="s">
        <v>4</v>
      </c>
      <c r="C18" s="48">
        <f ca="1">+C15</f>
        <v>56075.849929650176</v>
      </c>
      <c r="D18" s="49">
        <f ca="1">+C16</f>
        <v>0.76006235301813285</v>
      </c>
      <c r="E18" s="50" t="s">
        <v>32</v>
      </c>
    </row>
    <row r="19" spans="1:17" s="31" customFormat="1" ht="12.95" customHeight="1" thickTop="1" x14ac:dyDescent="0.2">
      <c r="A19" s="51" t="s">
        <v>33</v>
      </c>
      <c r="E19" s="52">
        <v>21</v>
      </c>
    </row>
    <row r="20" spans="1:17" s="31" customFormat="1" ht="12.95" customHeight="1" thickBot="1" x14ac:dyDescent="0.25">
      <c r="A20" s="39" t="s">
        <v>5</v>
      </c>
      <c r="B20" s="39" t="s">
        <v>6</v>
      </c>
      <c r="C20" s="39" t="s">
        <v>7</v>
      </c>
      <c r="D20" s="39" t="s">
        <v>11</v>
      </c>
      <c r="E20" s="39" t="s">
        <v>8</v>
      </c>
      <c r="F20" s="39" t="s">
        <v>9</v>
      </c>
      <c r="G20" s="39" t="s">
        <v>10</v>
      </c>
      <c r="H20" s="53" t="s">
        <v>36</v>
      </c>
      <c r="I20" s="53" t="s">
        <v>55</v>
      </c>
      <c r="J20" s="53" t="s">
        <v>49</v>
      </c>
      <c r="K20" s="53" t="s">
        <v>47</v>
      </c>
      <c r="L20" s="53" t="s">
        <v>23</v>
      </c>
      <c r="M20" s="53" t="s">
        <v>24</v>
      </c>
      <c r="N20" s="53" t="s">
        <v>25</v>
      </c>
      <c r="O20" s="53" t="s">
        <v>21</v>
      </c>
      <c r="P20" s="54" t="s">
        <v>20</v>
      </c>
      <c r="Q20" s="39" t="s">
        <v>13</v>
      </c>
    </row>
    <row r="21" spans="1:17" s="31" customFormat="1" ht="12.95" customHeight="1" x14ac:dyDescent="0.2">
      <c r="A21" s="55" t="s">
        <v>61</v>
      </c>
      <c r="B21" s="56" t="s">
        <v>34</v>
      </c>
      <c r="C21" s="57">
        <v>25771.437999999998</v>
      </c>
      <c r="D21" s="58"/>
      <c r="E21" s="31">
        <f t="shared" ref="E21:E40" si="0">+(C21-C$7)/C$8</f>
        <v>-35166.981202576215</v>
      </c>
      <c r="F21" s="31">
        <f t="shared" ref="F21:F40" si="1">ROUND(2*E21,0)/2</f>
        <v>-35167</v>
      </c>
      <c r="G21" s="31">
        <f t="shared" ref="G21:G40" si="2">+C21-(C$7+F21*C$8)</f>
        <v>1.4287199996033451E-2</v>
      </c>
      <c r="I21" s="31">
        <f>+G21</f>
        <v>1.4287199996033451E-2</v>
      </c>
      <c r="O21" s="31">
        <f t="shared" ref="O21:O40" ca="1" si="3">+C$11+C$12*$F21</f>
        <v>-1.9860335801785665E-2</v>
      </c>
      <c r="Q21" s="59">
        <f t="shared" ref="Q21:Q40" si="4">+C21-15018.5</f>
        <v>10752.937999999998</v>
      </c>
    </row>
    <row r="22" spans="1:17" s="31" customFormat="1" ht="12.95" customHeight="1" x14ac:dyDescent="0.2">
      <c r="A22" s="55" t="s">
        <v>61</v>
      </c>
      <c r="B22" s="56" t="s">
        <v>34</v>
      </c>
      <c r="C22" s="57">
        <v>26499.384999999998</v>
      </c>
      <c r="D22" s="58"/>
      <c r="E22" s="31">
        <f t="shared" si="0"/>
        <v>-34209.233830521109</v>
      </c>
      <c r="F22" s="31">
        <f t="shared" si="1"/>
        <v>-34209</v>
      </c>
      <c r="G22" s="31">
        <f t="shared" si="2"/>
        <v>-0.17772560000230442</v>
      </c>
      <c r="I22" s="31">
        <f>+G22</f>
        <v>-0.17772560000230442</v>
      </c>
      <c r="O22" s="31">
        <f t="shared" ca="1" si="3"/>
        <v>-1.9138944430569703E-2</v>
      </c>
      <c r="Q22" s="59">
        <f t="shared" si="4"/>
        <v>11480.884999999998</v>
      </c>
    </row>
    <row r="23" spans="1:17" s="31" customFormat="1" ht="12.95" customHeight="1" x14ac:dyDescent="0.2">
      <c r="A23" s="55" t="s">
        <v>61</v>
      </c>
      <c r="B23" s="56" t="s">
        <v>34</v>
      </c>
      <c r="C23" s="57">
        <v>27308.276000000002</v>
      </c>
      <c r="D23" s="58"/>
      <c r="E23" s="31">
        <f t="shared" si="0"/>
        <v>-33144.989827140329</v>
      </c>
      <c r="F23" s="31">
        <f t="shared" si="1"/>
        <v>-33145</v>
      </c>
      <c r="G23" s="31">
        <f t="shared" si="2"/>
        <v>7.7319999982137233E-3</v>
      </c>
      <c r="I23" s="31">
        <f>+G23</f>
        <v>7.7319999982137233E-3</v>
      </c>
      <c r="O23" s="31">
        <f t="shared" ca="1" si="3"/>
        <v>-1.8337733137277649E-2</v>
      </c>
      <c r="Q23" s="59">
        <f t="shared" si="4"/>
        <v>12289.776000000002</v>
      </c>
    </row>
    <row r="24" spans="1:17" s="31" customFormat="1" ht="12.95" customHeight="1" x14ac:dyDescent="0.2">
      <c r="A24" s="55" t="s">
        <v>72</v>
      </c>
      <c r="B24" s="56" t="s">
        <v>34</v>
      </c>
      <c r="C24" s="57">
        <v>29104.27</v>
      </c>
      <c r="D24" s="58"/>
      <c r="E24" s="31">
        <f t="shared" si="0"/>
        <v>-30782.03135114312</v>
      </c>
      <c r="F24" s="31">
        <f t="shared" si="1"/>
        <v>-30782</v>
      </c>
      <c r="G24" s="31">
        <f t="shared" si="2"/>
        <v>-2.3828800000046613E-2</v>
      </c>
      <c r="I24" s="31">
        <f>+G24</f>
        <v>-2.3828800000046613E-2</v>
      </c>
      <c r="O24" s="31">
        <f t="shared" ca="1" si="3"/>
        <v>-1.6558351289487135E-2</v>
      </c>
      <c r="Q24" s="59">
        <f t="shared" si="4"/>
        <v>14085.77</v>
      </c>
    </row>
    <row r="25" spans="1:17" s="31" customFormat="1" ht="12.95" customHeight="1" x14ac:dyDescent="0.2">
      <c r="A25" s="55" t="s">
        <v>72</v>
      </c>
      <c r="B25" s="56" t="s">
        <v>34</v>
      </c>
      <c r="C25" s="57">
        <v>29785.33</v>
      </c>
      <c r="D25" s="58"/>
      <c r="E25" s="31">
        <f t="shared" si="0"/>
        <v>-29885.972400131777</v>
      </c>
      <c r="F25" s="31">
        <f t="shared" si="1"/>
        <v>-29886</v>
      </c>
      <c r="G25" s="31">
        <f t="shared" si="2"/>
        <v>2.0977600001060637E-2</v>
      </c>
      <c r="I25" s="31">
        <f>+G25</f>
        <v>2.0977600001060637E-2</v>
      </c>
      <c r="O25" s="31">
        <f t="shared" ca="1" si="3"/>
        <v>-1.5883647042504355E-2</v>
      </c>
      <c r="Q25" s="59">
        <f t="shared" si="4"/>
        <v>14766.830000000002</v>
      </c>
    </row>
    <row r="26" spans="1:17" s="31" customFormat="1" ht="12.95" customHeight="1" x14ac:dyDescent="0.2">
      <c r="A26" s="55" t="s">
        <v>72</v>
      </c>
      <c r="B26" s="56" t="s">
        <v>34</v>
      </c>
      <c r="C26" s="57">
        <v>29791.34</v>
      </c>
      <c r="D26" s="58"/>
      <c r="E26" s="31">
        <f t="shared" si="0"/>
        <v>-29878.065146298672</v>
      </c>
      <c r="F26" s="31">
        <f t="shared" si="1"/>
        <v>-29878</v>
      </c>
      <c r="G26" s="31">
        <f t="shared" si="2"/>
        <v>-4.9515200000314508E-2</v>
      </c>
      <c r="I26" s="31">
        <f>+G26</f>
        <v>-4.9515200000314508E-2</v>
      </c>
      <c r="O26" s="31">
        <f t="shared" ca="1" si="3"/>
        <v>-1.5877622897442011E-2</v>
      </c>
      <c r="Q26" s="59">
        <f t="shared" si="4"/>
        <v>14772.84</v>
      </c>
    </row>
    <row r="27" spans="1:17" s="31" customFormat="1" ht="12.95" customHeight="1" x14ac:dyDescent="0.2">
      <c r="A27" s="55" t="s">
        <v>72</v>
      </c>
      <c r="B27" s="56" t="s">
        <v>34</v>
      </c>
      <c r="C27" s="57">
        <v>30165.35</v>
      </c>
      <c r="D27" s="58"/>
      <c r="E27" s="31">
        <f t="shared" si="0"/>
        <v>-29385.986609506392</v>
      </c>
      <c r="F27" s="31">
        <f t="shared" si="1"/>
        <v>-29386</v>
      </c>
      <c r="G27" s="31">
        <f t="shared" si="2"/>
        <v>1.0177599997405196E-2</v>
      </c>
      <c r="I27" s="31">
        <f>+G27</f>
        <v>1.0177599997405196E-2</v>
      </c>
      <c r="O27" s="31">
        <f t="shared" ca="1" si="3"/>
        <v>-1.5507137976107714E-2</v>
      </c>
      <c r="Q27" s="59">
        <f t="shared" si="4"/>
        <v>15146.849999999999</v>
      </c>
    </row>
    <row r="28" spans="1:17" s="31" customFormat="1" ht="12.95" customHeight="1" x14ac:dyDescent="0.2">
      <c r="A28" s="55" t="s">
        <v>72</v>
      </c>
      <c r="B28" s="56" t="s">
        <v>34</v>
      </c>
      <c r="C28" s="57">
        <v>30900.32</v>
      </c>
      <c r="D28" s="58"/>
      <c r="E28" s="31">
        <f t="shared" si="0"/>
        <v>-28418.9991969072</v>
      </c>
      <c r="F28" s="31">
        <f t="shared" si="1"/>
        <v>-28419</v>
      </c>
      <c r="G28" s="31">
        <f t="shared" si="2"/>
        <v>6.1039999854983762E-4</v>
      </c>
      <c r="I28" s="31">
        <f>+G28</f>
        <v>6.1039999854983762E-4</v>
      </c>
      <c r="O28" s="31">
        <f t="shared" ca="1" si="3"/>
        <v>-1.4778969441696614E-2</v>
      </c>
      <c r="Q28" s="59">
        <f t="shared" si="4"/>
        <v>15881.82</v>
      </c>
    </row>
    <row r="29" spans="1:17" s="31" customFormat="1" ht="12.95" customHeight="1" x14ac:dyDescent="0.2">
      <c r="A29" s="55" t="s">
        <v>72</v>
      </c>
      <c r="B29" s="56" t="s">
        <v>34</v>
      </c>
      <c r="C29" s="57">
        <v>30903.35</v>
      </c>
      <c r="D29" s="58"/>
      <c r="E29" s="31">
        <f t="shared" si="0"/>
        <v>-28415.012677919793</v>
      </c>
      <c r="F29" s="31">
        <f t="shared" si="1"/>
        <v>-28415</v>
      </c>
      <c r="G29" s="31">
        <f t="shared" si="2"/>
        <v>-9.6360000025015324E-3</v>
      </c>
      <c r="I29" s="31">
        <f>+G29</f>
        <v>-9.6360000025015324E-3</v>
      </c>
      <c r="O29" s="31">
        <f t="shared" ca="1" si="3"/>
        <v>-1.4775957369165439E-2</v>
      </c>
      <c r="Q29" s="59">
        <f t="shared" si="4"/>
        <v>15884.849999999999</v>
      </c>
    </row>
    <row r="30" spans="1:17" s="31" customFormat="1" ht="12.95" customHeight="1" x14ac:dyDescent="0.2">
      <c r="A30" s="55" t="s">
        <v>72</v>
      </c>
      <c r="B30" s="56" t="s">
        <v>34</v>
      </c>
      <c r="C30" s="57">
        <v>30926.19</v>
      </c>
      <c r="D30" s="58"/>
      <c r="E30" s="31">
        <f t="shared" si="0"/>
        <v>-28384.962481988307</v>
      </c>
      <c r="F30" s="31">
        <f t="shared" si="1"/>
        <v>-28385</v>
      </c>
      <c r="G30" s="31">
        <f t="shared" si="2"/>
        <v>2.851599999848986E-2</v>
      </c>
      <c r="I30" s="31">
        <f>+G30</f>
        <v>2.851599999848986E-2</v>
      </c>
      <c r="O30" s="31">
        <f t="shared" ca="1" si="3"/>
        <v>-1.475336682518164E-2</v>
      </c>
      <c r="Q30" s="59">
        <f t="shared" si="4"/>
        <v>15907.689999999999</v>
      </c>
    </row>
    <row r="31" spans="1:17" s="31" customFormat="1" ht="12.95" customHeight="1" x14ac:dyDescent="0.2">
      <c r="A31" s="55" t="s">
        <v>72</v>
      </c>
      <c r="B31" s="56" t="s">
        <v>34</v>
      </c>
      <c r="C31" s="57">
        <v>30932.26</v>
      </c>
      <c r="D31" s="58"/>
      <c r="E31" s="31">
        <f t="shared" si="0"/>
        <v>-28376.976287185149</v>
      </c>
      <c r="F31" s="31">
        <f t="shared" si="1"/>
        <v>-28377</v>
      </c>
      <c r="G31" s="31">
        <f t="shared" si="2"/>
        <v>1.802319999478641E-2</v>
      </c>
      <c r="I31" s="31">
        <f>+G31</f>
        <v>1.802319999478641E-2</v>
      </c>
      <c r="O31" s="31">
        <f t="shared" ca="1" si="3"/>
        <v>-1.4747342680119296E-2</v>
      </c>
      <c r="Q31" s="59">
        <f t="shared" si="4"/>
        <v>15913.759999999998</v>
      </c>
    </row>
    <row r="32" spans="1:17" x14ac:dyDescent="0.2">
      <c r="A32" s="28" t="s">
        <v>72</v>
      </c>
      <c r="B32" s="30" t="s">
        <v>34</v>
      </c>
      <c r="C32" s="29">
        <v>30941.31</v>
      </c>
      <c r="D32" s="3"/>
      <c r="E32">
        <f t="shared" si="0"/>
        <v>-28365.069357536286</v>
      </c>
      <c r="F32">
        <f t="shared" si="1"/>
        <v>-28365</v>
      </c>
      <c r="G32">
        <f t="shared" si="2"/>
        <v>-5.2716000001964858E-2</v>
      </c>
      <c r="I32">
        <f>+G32</f>
        <v>-5.2716000001964858E-2</v>
      </c>
      <c r="O32">
        <f t="shared" ca="1" si="3"/>
        <v>-1.4738306462525776E-2</v>
      </c>
      <c r="Q32" s="1">
        <f t="shared" si="4"/>
        <v>15922.810000000001</v>
      </c>
    </row>
    <row r="33" spans="1:17" x14ac:dyDescent="0.2">
      <c r="A33" s="28" t="s">
        <v>72</v>
      </c>
      <c r="B33" s="30" t="s">
        <v>34</v>
      </c>
      <c r="C33" s="29">
        <v>30967.200000000001</v>
      </c>
      <c r="D33" s="3"/>
      <c r="E33">
        <f t="shared" si="0"/>
        <v>-28331.006328960706</v>
      </c>
      <c r="F33">
        <f t="shared" si="1"/>
        <v>-28331</v>
      </c>
      <c r="G33">
        <f t="shared" si="2"/>
        <v>-4.8104000015882775E-3</v>
      </c>
      <c r="I33">
        <f>+G33</f>
        <v>-4.8104000015882775E-3</v>
      </c>
      <c r="O33">
        <f t="shared" ca="1" si="3"/>
        <v>-1.4712703846010805E-2</v>
      </c>
      <c r="Q33" s="1">
        <f t="shared" si="4"/>
        <v>15948.7</v>
      </c>
    </row>
    <row r="34" spans="1:17" x14ac:dyDescent="0.2">
      <c r="A34" s="28" t="s">
        <v>72</v>
      </c>
      <c r="B34" s="30" t="s">
        <v>34</v>
      </c>
      <c r="C34" s="29">
        <v>31015.1</v>
      </c>
      <c r="D34" s="3"/>
      <c r="E34">
        <f t="shared" si="0"/>
        <v>-28267.985121205969</v>
      </c>
      <c r="F34">
        <f t="shared" si="1"/>
        <v>-28268</v>
      </c>
      <c r="G34">
        <f t="shared" si="2"/>
        <v>1.1308799996186281E-2</v>
      </c>
      <c r="I34">
        <f>+G34</f>
        <v>1.1308799996186281E-2</v>
      </c>
      <c r="O34">
        <f t="shared" ca="1" si="3"/>
        <v>-1.4665263703644826E-2</v>
      </c>
      <c r="Q34" s="1">
        <f t="shared" si="4"/>
        <v>15996.599999999999</v>
      </c>
    </row>
    <row r="35" spans="1:17" x14ac:dyDescent="0.2">
      <c r="A35" s="7" t="s">
        <v>36</v>
      </c>
      <c r="B35" s="6" t="s">
        <v>34</v>
      </c>
      <c r="C35" s="7">
        <v>52500.51</v>
      </c>
      <c r="D35" s="5"/>
      <c r="E35">
        <f t="shared" si="0"/>
        <v>0</v>
      </c>
      <c r="F35">
        <f t="shared" si="1"/>
        <v>0</v>
      </c>
      <c r="G35">
        <f t="shared" si="2"/>
        <v>0</v>
      </c>
      <c r="H35">
        <f>+G35</f>
        <v>0</v>
      </c>
      <c r="O35">
        <f t="shared" ca="1" si="3"/>
        <v>6.6210528741555957E-3</v>
      </c>
      <c r="Q35" s="1">
        <f t="shared" si="4"/>
        <v>37482.01</v>
      </c>
    </row>
    <row r="36" spans="1:17" x14ac:dyDescent="0.2">
      <c r="A36" s="28" t="s">
        <v>106</v>
      </c>
      <c r="B36" s="30" t="s">
        <v>129</v>
      </c>
      <c r="C36" s="29">
        <v>52888.912100000001</v>
      </c>
      <c r="D36" s="3"/>
      <c r="E36">
        <f t="shared" si="0"/>
        <v>511.01397570933636</v>
      </c>
      <c r="F36">
        <f t="shared" si="1"/>
        <v>511</v>
      </c>
      <c r="G36">
        <f t="shared" si="2"/>
        <v>1.0622399997373577E-2</v>
      </c>
      <c r="I36">
        <f>+G36</f>
        <v>1.0622399997373577E-2</v>
      </c>
      <c r="O36">
        <f t="shared" ca="1" si="3"/>
        <v>7.0058451400129614E-3</v>
      </c>
      <c r="Q36" s="1">
        <f t="shared" si="4"/>
        <v>37870.412100000001</v>
      </c>
    </row>
    <row r="37" spans="1:17" x14ac:dyDescent="0.2">
      <c r="A37" s="7" t="s">
        <v>40</v>
      </c>
      <c r="B37" s="9" t="s">
        <v>34</v>
      </c>
      <c r="C37" s="12">
        <v>53515.957999999999</v>
      </c>
      <c r="D37" s="12">
        <v>6.9999999999999999E-4</v>
      </c>
      <c r="E37">
        <f t="shared" si="0"/>
        <v>1336.007502549789</v>
      </c>
      <c r="F37">
        <f t="shared" si="1"/>
        <v>1336</v>
      </c>
      <c r="G37">
        <f t="shared" si="2"/>
        <v>5.702399997971952E-3</v>
      </c>
      <c r="K37">
        <f>+G37</f>
        <v>5.702399997971952E-3</v>
      </c>
      <c r="O37">
        <f t="shared" ca="1" si="3"/>
        <v>7.6270850995674173E-3</v>
      </c>
      <c r="Q37" s="1">
        <f t="shared" si="4"/>
        <v>38497.457999999999</v>
      </c>
    </row>
    <row r="38" spans="1:17" x14ac:dyDescent="0.2">
      <c r="A38" s="10" t="s">
        <v>40</v>
      </c>
      <c r="B38" s="11" t="s">
        <v>34</v>
      </c>
      <c r="C38" s="10">
        <v>53522.797500000001</v>
      </c>
      <c r="D38" s="10">
        <v>5.9999999999999995E-4</v>
      </c>
      <c r="E38">
        <f t="shared" si="0"/>
        <v>1345.006115293811</v>
      </c>
      <c r="F38">
        <f t="shared" si="1"/>
        <v>1345</v>
      </c>
      <c r="G38">
        <f t="shared" si="2"/>
        <v>4.6480000019073486E-3</v>
      </c>
      <c r="K38">
        <f>+G38</f>
        <v>4.6480000019073486E-3</v>
      </c>
      <c r="O38">
        <f t="shared" ca="1" si="3"/>
        <v>7.6338622627625564E-3</v>
      </c>
      <c r="Q38" s="1">
        <f t="shared" si="4"/>
        <v>38504.297500000001</v>
      </c>
    </row>
    <row r="39" spans="1:17" x14ac:dyDescent="0.2">
      <c r="A39" s="13" t="s">
        <v>41</v>
      </c>
      <c r="B39" s="6" t="s">
        <v>34</v>
      </c>
      <c r="C39" s="7">
        <v>53944.635999999999</v>
      </c>
      <c r="D39" s="7">
        <v>1.1999999999999999E-3</v>
      </c>
      <c r="E39">
        <f t="shared" si="0"/>
        <v>1900.0117885181892</v>
      </c>
      <c r="F39">
        <f t="shared" si="1"/>
        <v>1900</v>
      </c>
      <c r="G39">
        <f t="shared" si="2"/>
        <v>8.9599999992060475E-3</v>
      </c>
      <c r="K39">
        <f>+G39</f>
        <v>8.9599999992060475E-3</v>
      </c>
      <c r="O39">
        <f t="shared" ca="1" si="3"/>
        <v>8.0517873264628267E-3</v>
      </c>
      <c r="Q39" s="1">
        <f t="shared" si="4"/>
        <v>38926.135999999999</v>
      </c>
    </row>
    <row r="40" spans="1:17" x14ac:dyDescent="0.2">
      <c r="A40" s="14" t="s">
        <v>44</v>
      </c>
      <c r="B40" s="8" t="s">
        <v>34</v>
      </c>
      <c r="C40" s="14">
        <v>56075.839200000002</v>
      </c>
      <c r="D40" s="14">
        <v>2.0000000000000001E-4</v>
      </c>
      <c r="E40">
        <f t="shared" si="0"/>
        <v>4703.9992547972433</v>
      </c>
      <c r="F40">
        <f t="shared" si="1"/>
        <v>4704</v>
      </c>
      <c r="G40">
        <f t="shared" si="2"/>
        <v>-5.6639999820617959E-4</v>
      </c>
      <c r="K40">
        <f>+G40</f>
        <v>-5.6639999820617959E-4</v>
      </c>
      <c r="O40">
        <f t="shared" ca="1" si="3"/>
        <v>1.0163250170815182E-2</v>
      </c>
      <c r="Q40" s="1">
        <f t="shared" si="4"/>
        <v>41057.339200000002</v>
      </c>
    </row>
    <row r="41" spans="1:17" x14ac:dyDescent="0.2">
      <c r="C41" s="3"/>
      <c r="D41" s="3"/>
    </row>
    <row r="42" spans="1:17" x14ac:dyDescent="0.2">
      <c r="C42" s="3"/>
      <c r="D42" s="3"/>
    </row>
    <row r="43" spans="1:17" x14ac:dyDescent="0.2">
      <c r="C43" s="3"/>
      <c r="D43" s="3"/>
    </row>
    <row r="44" spans="1:17" x14ac:dyDescent="0.2">
      <c r="C44" s="3"/>
      <c r="D44" s="3"/>
    </row>
    <row r="45" spans="1:17" x14ac:dyDescent="0.2">
      <c r="C45" s="3"/>
      <c r="D45" s="3"/>
    </row>
    <row r="46" spans="1:17" x14ac:dyDescent="0.2">
      <c r="C46" s="3"/>
      <c r="D46" s="3"/>
    </row>
    <row r="47" spans="1:17" x14ac:dyDescent="0.2">
      <c r="C47" s="3"/>
      <c r="D47" s="3"/>
    </row>
    <row r="48" spans="1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3"/>
  <sheetViews>
    <sheetView topLeftCell="A4" workbookViewId="0">
      <selection activeCell="A15" sqref="A15:C29"/>
    </sheetView>
  </sheetViews>
  <sheetFormatPr defaultRowHeight="12.75" x14ac:dyDescent="0.2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15" t="s">
        <v>45</v>
      </c>
      <c r="I1" s="16" t="s">
        <v>46</v>
      </c>
      <c r="J1" s="17" t="s">
        <v>47</v>
      </c>
    </row>
    <row r="2" spans="1:16" x14ac:dyDescent="0.2">
      <c r="I2" s="18" t="s">
        <v>48</v>
      </c>
      <c r="J2" s="19" t="s">
        <v>49</v>
      </c>
    </row>
    <row r="3" spans="1:16" x14ac:dyDescent="0.2">
      <c r="A3" s="20" t="s">
        <v>50</v>
      </c>
      <c r="I3" s="18" t="s">
        <v>51</v>
      </c>
      <c r="J3" s="19" t="s">
        <v>52</v>
      </c>
    </row>
    <row r="4" spans="1:16" x14ac:dyDescent="0.2">
      <c r="I4" s="18" t="s">
        <v>53</v>
      </c>
      <c r="J4" s="19" t="s">
        <v>52</v>
      </c>
    </row>
    <row r="5" spans="1:16" ht="13.5" thickBot="1" x14ac:dyDescent="0.25">
      <c r="I5" s="21" t="s">
        <v>54</v>
      </c>
      <c r="J5" s="22" t="s">
        <v>55</v>
      </c>
    </row>
    <row r="10" spans="1:16" ht="13.5" thickBot="1" x14ac:dyDescent="0.25"/>
    <row r="11" spans="1:16" ht="12.75" customHeight="1" thickBot="1" x14ac:dyDescent="0.25">
      <c r="A11" s="3" t="str">
        <f t="shared" ref="A11:A29" si="0">P11</f>
        <v>IBVS 5690 </v>
      </c>
      <c r="B11" s="2" t="str">
        <f t="shared" ref="B11:B29" si="1">IF(H11=INT(H11),"I","II")</f>
        <v>II</v>
      </c>
      <c r="C11" s="3">
        <f t="shared" ref="C11:C29" si="2">1*G11</f>
        <v>53515.957999999999</v>
      </c>
      <c r="D11" s="4" t="str">
        <f t="shared" ref="D11:D29" si="3">VLOOKUP(F11,I$1:J$5,2,FALSE)</f>
        <v>vis</v>
      </c>
      <c r="E11" s="23">
        <f>VLOOKUP(C11,Active!C$21:E$973,3,FALSE)</f>
        <v>1336.007502549789</v>
      </c>
      <c r="F11" s="2" t="s">
        <v>54</v>
      </c>
      <c r="G11" s="4" t="str">
        <f t="shared" ref="G11:G29" si="4">MID(I11,3,LEN(I11)-3)</f>
        <v>53515.9580</v>
      </c>
      <c r="H11" s="3">
        <f t="shared" ref="H11:H29" si="5">1*K11</f>
        <v>29749.5</v>
      </c>
      <c r="I11" s="24" t="s">
        <v>107</v>
      </c>
      <c r="J11" s="25" t="s">
        <v>108</v>
      </c>
      <c r="K11" s="24">
        <v>29749.5</v>
      </c>
      <c r="L11" s="24" t="s">
        <v>109</v>
      </c>
      <c r="M11" s="25" t="s">
        <v>110</v>
      </c>
      <c r="N11" s="25" t="s">
        <v>111</v>
      </c>
      <c r="O11" s="26" t="s">
        <v>112</v>
      </c>
      <c r="P11" s="27" t="s">
        <v>113</v>
      </c>
    </row>
    <row r="12" spans="1:16" ht="12.75" customHeight="1" thickBot="1" x14ac:dyDescent="0.25">
      <c r="A12" s="3" t="str">
        <f t="shared" si="0"/>
        <v>IBVS 5690 </v>
      </c>
      <c r="B12" s="2" t="str">
        <f t="shared" si="1"/>
        <v>II</v>
      </c>
      <c r="C12" s="3">
        <f t="shared" si="2"/>
        <v>53522.797500000001</v>
      </c>
      <c r="D12" s="4" t="str">
        <f t="shared" si="3"/>
        <v>vis</v>
      </c>
      <c r="E12" s="23">
        <f>VLOOKUP(C12,Active!C$21:E$973,3,FALSE)</f>
        <v>1345.006115293811</v>
      </c>
      <c r="F12" s="2" t="s">
        <v>54</v>
      </c>
      <c r="G12" s="4" t="str">
        <f t="shared" si="4"/>
        <v>53522.7975</v>
      </c>
      <c r="H12" s="3">
        <f t="shared" si="5"/>
        <v>29758.5</v>
      </c>
      <c r="I12" s="24" t="s">
        <v>114</v>
      </c>
      <c r="J12" s="25" t="s">
        <v>115</v>
      </c>
      <c r="K12" s="24">
        <v>29758.5</v>
      </c>
      <c r="L12" s="24" t="s">
        <v>116</v>
      </c>
      <c r="M12" s="25" t="s">
        <v>110</v>
      </c>
      <c r="N12" s="25" t="s">
        <v>111</v>
      </c>
      <c r="O12" s="26" t="s">
        <v>112</v>
      </c>
      <c r="P12" s="27" t="s">
        <v>113</v>
      </c>
    </row>
    <row r="13" spans="1:16" ht="12.75" customHeight="1" thickBot="1" x14ac:dyDescent="0.25">
      <c r="A13" s="3" t="str">
        <f t="shared" si="0"/>
        <v>IBVS 5843 </v>
      </c>
      <c r="B13" s="2" t="str">
        <f t="shared" si="1"/>
        <v>II</v>
      </c>
      <c r="C13" s="3">
        <f t="shared" si="2"/>
        <v>53944.635999999999</v>
      </c>
      <c r="D13" s="4" t="str">
        <f t="shared" si="3"/>
        <v>vis</v>
      </c>
      <c r="E13" s="23">
        <f>VLOOKUP(C13,Active!C$21:E$973,3,FALSE)</f>
        <v>1900.0117885181892</v>
      </c>
      <c r="F13" s="2" t="s">
        <v>54</v>
      </c>
      <c r="G13" s="4" t="str">
        <f t="shared" si="4"/>
        <v>53944.6360</v>
      </c>
      <c r="H13" s="3">
        <f t="shared" si="5"/>
        <v>30313.5</v>
      </c>
      <c r="I13" s="24" t="s">
        <v>117</v>
      </c>
      <c r="J13" s="25" t="s">
        <v>118</v>
      </c>
      <c r="K13" s="24">
        <v>30313.5</v>
      </c>
      <c r="L13" s="24" t="s">
        <v>119</v>
      </c>
      <c r="M13" s="25" t="s">
        <v>104</v>
      </c>
      <c r="N13" s="25" t="s">
        <v>120</v>
      </c>
      <c r="O13" s="26" t="s">
        <v>121</v>
      </c>
      <c r="P13" s="27" t="s">
        <v>122</v>
      </c>
    </row>
    <row r="14" spans="1:16" ht="12.75" customHeight="1" thickBot="1" x14ac:dyDescent="0.25">
      <c r="A14" s="3" t="str">
        <f t="shared" si="0"/>
        <v>IBVS 6029 </v>
      </c>
      <c r="B14" s="2" t="str">
        <f t="shared" si="1"/>
        <v>II</v>
      </c>
      <c r="C14" s="3">
        <f t="shared" si="2"/>
        <v>56075.839200000002</v>
      </c>
      <c r="D14" s="4" t="str">
        <f t="shared" si="3"/>
        <v>vis</v>
      </c>
      <c r="E14" s="23">
        <f>VLOOKUP(C14,Active!C$21:E$973,3,FALSE)</f>
        <v>4703.9992547972433</v>
      </c>
      <c r="F14" s="2" t="s">
        <v>54</v>
      </c>
      <c r="G14" s="4" t="str">
        <f t="shared" si="4"/>
        <v>56075.8392</v>
      </c>
      <c r="H14" s="3">
        <f t="shared" si="5"/>
        <v>33117.5</v>
      </c>
      <c r="I14" s="24" t="s">
        <v>123</v>
      </c>
      <c r="J14" s="25" t="s">
        <v>124</v>
      </c>
      <c r="K14" s="24" t="s">
        <v>125</v>
      </c>
      <c r="L14" s="24" t="s">
        <v>126</v>
      </c>
      <c r="M14" s="25" t="s">
        <v>104</v>
      </c>
      <c r="N14" s="25" t="s">
        <v>54</v>
      </c>
      <c r="O14" s="26" t="s">
        <v>127</v>
      </c>
      <c r="P14" s="27" t="s">
        <v>128</v>
      </c>
    </row>
    <row r="15" spans="1:16" ht="12.75" customHeight="1" thickBot="1" x14ac:dyDescent="0.25">
      <c r="A15" s="3" t="str">
        <f t="shared" si="0"/>
        <v> PZ 4.344 </v>
      </c>
      <c r="B15" s="2" t="str">
        <f t="shared" si="1"/>
        <v>I</v>
      </c>
      <c r="C15" s="3">
        <f t="shared" si="2"/>
        <v>25771.437999999998</v>
      </c>
      <c r="D15" s="4" t="str">
        <f t="shared" si="3"/>
        <v>vis</v>
      </c>
      <c r="E15" s="23">
        <f>VLOOKUP(C15,Active!C$21:E$973,3,FALSE)</f>
        <v>-35166.981202576215</v>
      </c>
      <c r="F15" s="2" t="s">
        <v>54</v>
      </c>
      <c r="G15" s="4" t="str">
        <f t="shared" si="4"/>
        <v>25771.438</v>
      </c>
      <c r="H15" s="3">
        <f t="shared" si="5"/>
        <v>-6748</v>
      </c>
      <c r="I15" s="24" t="s">
        <v>56</v>
      </c>
      <c r="J15" s="25" t="s">
        <v>57</v>
      </c>
      <c r="K15" s="24">
        <v>-6748</v>
      </c>
      <c r="L15" s="24" t="s">
        <v>58</v>
      </c>
      <c r="M15" s="25" t="s">
        <v>59</v>
      </c>
      <c r="N15" s="25"/>
      <c r="O15" s="26" t="s">
        <v>60</v>
      </c>
      <c r="P15" s="26" t="s">
        <v>61</v>
      </c>
    </row>
    <row r="16" spans="1:16" ht="12.75" customHeight="1" thickBot="1" x14ac:dyDescent="0.25">
      <c r="A16" s="3" t="str">
        <f t="shared" si="0"/>
        <v> PZ 4.344 </v>
      </c>
      <c r="B16" s="2" t="str">
        <f t="shared" si="1"/>
        <v>I</v>
      </c>
      <c r="C16" s="3">
        <f t="shared" si="2"/>
        <v>26499.384999999998</v>
      </c>
      <c r="D16" s="4" t="str">
        <f t="shared" si="3"/>
        <v>vis</v>
      </c>
      <c r="E16" s="23">
        <f>VLOOKUP(C16,Active!C$21:E$973,3,FALSE)</f>
        <v>-34209.233830521109</v>
      </c>
      <c r="F16" s="2" t="s">
        <v>54</v>
      </c>
      <c r="G16" s="4" t="str">
        <f t="shared" si="4"/>
        <v>26499.385</v>
      </c>
      <c r="H16" s="3">
        <f t="shared" si="5"/>
        <v>-5790</v>
      </c>
      <c r="I16" s="24" t="s">
        <v>62</v>
      </c>
      <c r="J16" s="25" t="s">
        <v>63</v>
      </c>
      <c r="K16" s="24">
        <v>-5790</v>
      </c>
      <c r="L16" s="24" t="s">
        <v>64</v>
      </c>
      <c r="M16" s="25" t="s">
        <v>59</v>
      </c>
      <c r="N16" s="25"/>
      <c r="O16" s="26" t="s">
        <v>60</v>
      </c>
      <c r="P16" s="26" t="s">
        <v>61</v>
      </c>
    </row>
    <row r="17" spans="1:16" ht="12.75" customHeight="1" thickBot="1" x14ac:dyDescent="0.25">
      <c r="A17" s="3" t="str">
        <f t="shared" si="0"/>
        <v> PZ 4.344 </v>
      </c>
      <c r="B17" s="2" t="str">
        <f t="shared" si="1"/>
        <v>I</v>
      </c>
      <c r="C17" s="3">
        <f t="shared" si="2"/>
        <v>27308.276000000002</v>
      </c>
      <c r="D17" s="4" t="str">
        <f t="shared" si="3"/>
        <v>vis</v>
      </c>
      <c r="E17" s="23">
        <f>VLOOKUP(C17,Active!C$21:E$973,3,FALSE)</f>
        <v>-33144.989827140329</v>
      </c>
      <c r="F17" s="2" t="s">
        <v>54</v>
      </c>
      <c r="G17" s="4" t="str">
        <f t="shared" si="4"/>
        <v>27308.276</v>
      </c>
      <c r="H17" s="3">
        <f t="shared" si="5"/>
        <v>-4726</v>
      </c>
      <c r="I17" s="24" t="s">
        <v>65</v>
      </c>
      <c r="J17" s="25" t="s">
        <v>66</v>
      </c>
      <c r="K17" s="24">
        <v>-4726</v>
      </c>
      <c r="L17" s="24" t="s">
        <v>67</v>
      </c>
      <c r="M17" s="25" t="s">
        <v>59</v>
      </c>
      <c r="N17" s="25"/>
      <c r="O17" s="26" t="s">
        <v>60</v>
      </c>
      <c r="P17" s="26" t="s">
        <v>61</v>
      </c>
    </row>
    <row r="18" spans="1:16" ht="12.75" customHeight="1" thickBot="1" x14ac:dyDescent="0.25">
      <c r="A18" s="3" t="str">
        <f t="shared" si="0"/>
        <v> IODE 4.3.18 </v>
      </c>
      <c r="B18" s="2" t="str">
        <f t="shared" si="1"/>
        <v>I</v>
      </c>
      <c r="C18" s="3">
        <f t="shared" si="2"/>
        <v>29104.27</v>
      </c>
      <c r="D18" s="4" t="str">
        <f t="shared" si="3"/>
        <v>vis</v>
      </c>
      <c r="E18" s="23">
        <f>VLOOKUP(C18,Active!C$21:E$973,3,FALSE)</f>
        <v>-30782.03135114312</v>
      </c>
      <c r="F18" s="2" t="s">
        <v>54</v>
      </c>
      <c r="G18" s="4" t="str">
        <f t="shared" si="4"/>
        <v>29104.27</v>
      </c>
      <c r="H18" s="3">
        <f t="shared" si="5"/>
        <v>-2363</v>
      </c>
      <c r="I18" s="24" t="s">
        <v>68</v>
      </c>
      <c r="J18" s="25" t="s">
        <v>69</v>
      </c>
      <c r="K18" s="24">
        <v>-2363</v>
      </c>
      <c r="L18" s="24" t="s">
        <v>70</v>
      </c>
      <c r="M18" s="25" t="s">
        <v>59</v>
      </c>
      <c r="N18" s="25"/>
      <c r="O18" s="26" t="s">
        <v>71</v>
      </c>
      <c r="P18" s="26" t="s">
        <v>72</v>
      </c>
    </row>
    <row r="19" spans="1:16" ht="12.75" customHeight="1" thickBot="1" x14ac:dyDescent="0.25">
      <c r="A19" s="3" t="str">
        <f t="shared" si="0"/>
        <v> IODE 4.3.18 </v>
      </c>
      <c r="B19" s="2" t="str">
        <f t="shared" si="1"/>
        <v>I</v>
      </c>
      <c r="C19" s="3">
        <f t="shared" si="2"/>
        <v>29785.33</v>
      </c>
      <c r="D19" s="4" t="str">
        <f t="shared" si="3"/>
        <v>vis</v>
      </c>
      <c r="E19" s="23">
        <f>VLOOKUP(C19,Active!C$21:E$973,3,FALSE)</f>
        <v>-29885.972400131777</v>
      </c>
      <c r="F19" s="2" t="s">
        <v>54</v>
      </c>
      <c r="G19" s="4" t="str">
        <f t="shared" si="4"/>
        <v>29785.33</v>
      </c>
      <c r="H19" s="3">
        <f t="shared" si="5"/>
        <v>-1467</v>
      </c>
      <c r="I19" s="24" t="s">
        <v>73</v>
      </c>
      <c r="J19" s="25" t="s">
        <v>74</v>
      </c>
      <c r="K19" s="24">
        <v>-1467</v>
      </c>
      <c r="L19" s="24" t="s">
        <v>75</v>
      </c>
      <c r="M19" s="25" t="s">
        <v>59</v>
      </c>
      <c r="N19" s="25"/>
      <c r="O19" s="26" t="s">
        <v>71</v>
      </c>
      <c r="P19" s="26" t="s">
        <v>72</v>
      </c>
    </row>
    <row r="20" spans="1:16" ht="12.75" customHeight="1" thickBot="1" x14ac:dyDescent="0.25">
      <c r="A20" s="3" t="str">
        <f t="shared" si="0"/>
        <v> IODE 4.3.18 </v>
      </c>
      <c r="B20" s="2" t="str">
        <f t="shared" si="1"/>
        <v>I</v>
      </c>
      <c r="C20" s="3">
        <f t="shared" si="2"/>
        <v>29791.34</v>
      </c>
      <c r="D20" s="4" t="str">
        <f t="shared" si="3"/>
        <v>vis</v>
      </c>
      <c r="E20" s="23">
        <f>VLOOKUP(C20,Active!C$21:E$973,3,FALSE)</f>
        <v>-29878.065146298672</v>
      </c>
      <c r="F20" s="2" t="s">
        <v>54</v>
      </c>
      <c r="G20" s="4" t="str">
        <f t="shared" si="4"/>
        <v>29791.34</v>
      </c>
      <c r="H20" s="3">
        <f t="shared" si="5"/>
        <v>-1459</v>
      </c>
      <c r="I20" s="24" t="s">
        <v>76</v>
      </c>
      <c r="J20" s="25" t="s">
        <v>77</v>
      </c>
      <c r="K20" s="24">
        <v>-1459</v>
      </c>
      <c r="L20" s="24" t="s">
        <v>78</v>
      </c>
      <c r="M20" s="25" t="s">
        <v>59</v>
      </c>
      <c r="N20" s="25"/>
      <c r="O20" s="26" t="s">
        <v>71</v>
      </c>
      <c r="P20" s="26" t="s">
        <v>72</v>
      </c>
    </row>
    <row r="21" spans="1:16" ht="12.75" customHeight="1" thickBot="1" x14ac:dyDescent="0.25">
      <c r="A21" s="3" t="str">
        <f t="shared" si="0"/>
        <v> IODE 4.3.18 </v>
      </c>
      <c r="B21" s="2" t="str">
        <f t="shared" si="1"/>
        <v>I</v>
      </c>
      <c r="C21" s="3">
        <f t="shared" si="2"/>
        <v>30165.35</v>
      </c>
      <c r="D21" s="4" t="str">
        <f t="shared" si="3"/>
        <v>vis</v>
      </c>
      <c r="E21" s="23">
        <f>VLOOKUP(C21,Active!C$21:E$973,3,FALSE)</f>
        <v>-29385.986609506392</v>
      </c>
      <c r="F21" s="2" t="s">
        <v>54</v>
      </c>
      <c r="G21" s="4" t="str">
        <f t="shared" si="4"/>
        <v>30165.35</v>
      </c>
      <c r="H21" s="3">
        <f t="shared" si="5"/>
        <v>-967</v>
      </c>
      <c r="I21" s="24" t="s">
        <v>79</v>
      </c>
      <c r="J21" s="25" t="s">
        <v>80</v>
      </c>
      <c r="K21" s="24">
        <v>-967</v>
      </c>
      <c r="L21" s="24" t="s">
        <v>81</v>
      </c>
      <c r="M21" s="25" t="s">
        <v>59</v>
      </c>
      <c r="N21" s="25"/>
      <c r="O21" s="26" t="s">
        <v>71</v>
      </c>
      <c r="P21" s="26" t="s">
        <v>72</v>
      </c>
    </row>
    <row r="22" spans="1:16" ht="12.75" customHeight="1" thickBot="1" x14ac:dyDescent="0.25">
      <c r="A22" s="3" t="str">
        <f t="shared" si="0"/>
        <v> IODE 4.3.18 </v>
      </c>
      <c r="B22" s="2" t="str">
        <f t="shared" si="1"/>
        <v>I</v>
      </c>
      <c r="C22" s="3">
        <f t="shared" si="2"/>
        <v>30900.32</v>
      </c>
      <c r="D22" s="4" t="str">
        <f t="shared" si="3"/>
        <v>vis</v>
      </c>
      <c r="E22" s="23">
        <f>VLOOKUP(C22,Active!C$21:E$973,3,FALSE)</f>
        <v>-28418.9991969072</v>
      </c>
      <c r="F22" s="2" t="s">
        <v>54</v>
      </c>
      <c r="G22" s="4" t="str">
        <f t="shared" si="4"/>
        <v>30900.32</v>
      </c>
      <c r="H22" s="3">
        <f t="shared" si="5"/>
        <v>0</v>
      </c>
      <c r="I22" s="24" t="s">
        <v>82</v>
      </c>
      <c r="J22" s="25" t="s">
        <v>83</v>
      </c>
      <c r="K22" s="24">
        <v>0</v>
      </c>
      <c r="L22" s="24" t="s">
        <v>84</v>
      </c>
      <c r="M22" s="25" t="s">
        <v>85</v>
      </c>
      <c r="N22" s="25"/>
      <c r="O22" s="26" t="s">
        <v>71</v>
      </c>
      <c r="P22" s="26" t="s">
        <v>72</v>
      </c>
    </row>
    <row r="23" spans="1:16" ht="12.75" customHeight="1" thickBot="1" x14ac:dyDescent="0.25">
      <c r="A23" s="3" t="str">
        <f t="shared" si="0"/>
        <v> IODE 4.3.18 </v>
      </c>
      <c r="B23" s="2" t="str">
        <f t="shared" si="1"/>
        <v>I</v>
      </c>
      <c r="C23" s="3">
        <f t="shared" si="2"/>
        <v>30903.35</v>
      </c>
      <c r="D23" s="4" t="str">
        <f t="shared" si="3"/>
        <v>vis</v>
      </c>
      <c r="E23" s="23">
        <f>VLOOKUP(C23,Active!C$21:E$973,3,FALSE)</f>
        <v>-28415.012677919793</v>
      </c>
      <c r="F23" s="2" t="s">
        <v>54</v>
      </c>
      <c r="G23" s="4" t="str">
        <f t="shared" si="4"/>
        <v>30903.35</v>
      </c>
      <c r="H23" s="3">
        <f t="shared" si="5"/>
        <v>4</v>
      </c>
      <c r="I23" s="24" t="s">
        <v>86</v>
      </c>
      <c r="J23" s="25" t="s">
        <v>87</v>
      </c>
      <c r="K23" s="24">
        <v>4</v>
      </c>
      <c r="L23" s="24" t="s">
        <v>88</v>
      </c>
      <c r="M23" s="25" t="s">
        <v>85</v>
      </c>
      <c r="N23" s="25"/>
      <c r="O23" s="26" t="s">
        <v>71</v>
      </c>
      <c r="P23" s="26" t="s">
        <v>72</v>
      </c>
    </row>
    <row r="24" spans="1:16" ht="12.75" customHeight="1" thickBot="1" x14ac:dyDescent="0.25">
      <c r="A24" s="3" t="str">
        <f t="shared" si="0"/>
        <v> IODE 4.3.18 </v>
      </c>
      <c r="B24" s="2" t="str">
        <f t="shared" si="1"/>
        <v>I</v>
      </c>
      <c r="C24" s="3">
        <f t="shared" si="2"/>
        <v>30926.19</v>
      </c>
      <c r="D24" s="4" t="str">
        <f t="shared" si="3"/>
        <v>vis</v>
      </c>
      <c r="E24" s="23">
        <f>VLOOKUP(C24,Active!C$21:E$973,3,FALSE)</f>
        <v>-28384.962481988307</v>
      </c>
      <c r="F24" s="2" t="s">
        <v>54</v>
      </c>
      <c r="G24" s="4" t="str">
        <f t="shared" si="4"/>
        <v>30926.19</v>
      </c>
      <c r="H24" s="3">
        <f t="shared" si="5"/>
        <v>34</v>
      </c>
      <c r="I24" s="24" t="s">
        <v>89</v>
      </c>
      <c r="J24" s="25" t="s">
        <v>90</v>
      </c>
      <c r="K24" s="24">
        <v>34</v>
      </c>
      <c r="L24" s="24" t="s">
        <v>81</v>
      </c>
      <c r="M24" s="25" t="s">
        <v>85</v>
      </c>
      <c r="N24" s="25"/>
      <c r="O24" s="26" t="s">
        <v>71</v>
      </c>
      <c r="P24" s="26" t="s">
        <v>72</v>
      </c>
    </row>
    <row r="25" spans="1:16" ht="12.75" customHeight="1" thickBot="1" x14ac:dyDescent="0.25">
      <c r="A25" s="3" t="str">
        <f t="shared" si="0"/>
        <v> IODE 4.3.18 </v>
      </c>
      <c r="B25" s="2" t="str">
        <f t="shared" si="1"/>
        <v>I</v>
      </c>
      <c r="C25" s="3">
        <f t="shared" si="2"/>
        <v>30932.26</v>
      </c>
      <c r="D25" s="4" t="str">
        <f t="shared" si="3"/>
        <v>vis</v>
      </c>
      <c r="E25" s="23">
        <f>VLOOKUP(C25,Active!C$21:E$973,3,FALSE)</f>
        <v>-28376.976287185149</v>
      </c>
      <c r="F25" s="2" t="s">
        <v>54</v>
      </c>
      <c r="G25" s="4" t="str">
        <f t="shared" si="4"/>
        <v>30932.26</v>
      </c>
      <c r="H25" s="3">
        <f t="shared" si="5"/>
        <v>42</v>
      </c>
      <c r="I25" s="24" t="s">
        <v>91</v>
      </c>
      <c r="J25" s="25" t="s">
        <v>92</v>
      </c>
      <c r="K25" s="24">
        <v>42</v>
      </c>
      <c r="L25" s="24" t="s">
        <v>70</v>
      </c>
      <c r="M25" s="25" t="s">
        <v>85</v>
      </c>
      <c r="N25" s="25"/>
      <c r="O25" s="26" t="s">
        <v>71</v>
      </c>
      <c r="P25" s="26" t="s">
        <v>72</v>
      </c>
    </row>
    <row r="26" spans="1:16" ht="12.75" customHeight="1" thickBot="1" x14ac:dyDescent="0.25">
      <c r="A26" s="3" t="str">
        <f t="shared" si="0"/>
        <v> IODE 4.3.18 </v>
      </c>
      <c r="B26" s="2" t="str">
        <f t="shared" si="1"/>
        <v>I</v>
      </c>
      <c r="C26" s="3">
        <f t="shared" si="2"/>
        <v>30941.31</v>
      </c>
      <c r="D26" s="4" t="str">
        <f t="shared" si="3"/>
        <v>vis</v>
      </c>
      <c r="E26" s="23">
        <f>VLOOKUP(C26,Active!C$21:E$973,3,FALSE)</f>
        <v>-28365.069357536286</v>
      </c>
      <c r="F26" s="2" t="s">
        <v>54</v>
      </c>
      <c r="G26" s="4" t="str">
        <f t="shared" si="4"/>
        <v>30941.31</v>
      </c>
      <c r="H26" s="3">
        <f t="shared" si="5"/>
        <v>54</v>
      </c>
      <c r="I26" s="24" t="s">
        <v>93</v>
      </c>
      <c r="J26" s="25" t="s">
        <v>94</v>
      </c>
      <c r="K26" s="24">
        <v>54</v>
      </c>
      <c r="L26" s="24" t="s">
        <v>95</v>
      </c>
      <c r="M26" s="25" t="s">
        <v>85</v>
      </c>
      <c r="N26" s="25"/>
      <c r="O26" s="26" t="s">
        <v>71</v>
      </c>
      <c r="P26" s="26" t="s">
        <v>72</v>
      </c>
    </row>
    <row r="27" spans="1:16" ht="12.75" customHeight="1" thickBot="1" x14ac:dyDescent="0.25">
      <c r="A27" s="3" t="str">
        <f t="shared" si="0"/>
        <v> IODE 4.3.18 </v>
      </c>
      <c r="B27" s="2" t="str">
        <f t="shared" si="1"/>
        <v>I</v>
      </c>
      <c r="C27" s="3">
        <f t="shared" si="2"/>
        <v>30967.200000000001</v>
      </c>
      <c r="D27" s="4" t="str">
        <f t="shared" si="3"/>
        <v>vis</v>
      </c>
      <c r="E27" s="23">
        <f>VLOOKUP(C27,Active!C$21:E$973,3,FALSE)</f>
        <v>-28331.006328960706</v>
      </c>
      <c r="F27" s="2" t="s">
        <v>54</v>
      </c>
      <c r="G27" s="4" t="str">
        <f t="shared" si="4"/>
        <v>30967.20</v>
      </c>
      <c r="H27" s="3">
        <f t="shared" si="5"/>
        <v>88</v>
      </c>
      <c r="I27" s="24" t="s">
        <v>96</v>
      </c>
      <c r="J27" s="25" t="s">
        <v>97</v>
      </c>
      <c r="K27" s="24">
        <v>88</v>
      </c>
      <c r="L27" s="24" t="s">
        <v>88</v>
      </c>
      <c r="M27" s="25" t="s">
        <v>85</v>
      </c>
      <c r="N27" s="25"/>
      <c r="O27" s="26" t="s">
        <v>71</v>
      </c>
      <c r="P27" s="26" t="s">
        <v>72</v>
      </c>
    </row>
    <row r="28" spans="1:16" ht="12.75" customHeight="1" thickBot="1" x14ac:dyDescent="0.25">
      <c r="A28" s="3" t="str">
        <f t="shared" si="0"/>
        <v> IODE 4.3.18 </v>
      </c>
      <c r="B28" s="2" t="str">
        <f t="shared" si="1"/>
        <v>I</v>
      </c>
      <c r="C28" s="3">
        <f t="shared" si="2"/>
        <v>31015.1</v>
      </c>
      <c r="D28" s="4" t="str">
        <f t="shared" si="3"/>
        <v>vis</v>
      </c>
      <c r="E28" s="23">
        <f>VLOOKUP(C28,Active!C$21:E$973,3,FALSE)</f>
        <v>-28267.985121205969</v>
      </c>
      <c r="F28" s="2" t="s">
        <v>54</v>
      </c>
      <c r="G28" s="4" t="str">
        <f t="shared" si="4"/>
        <v>31015.10</v>
      </c>
      <c r="H28" s="3">
        <f t="shared" si="5"/>
        <v>151</v>
      </c>
      <c r="I28" s="24" t="s">
        <v>98</v>
      </c>
      <c r="J28" s="25" t="s">
        <v>99</v>
      </c>
      <c r="K28" s="24">
        <v>151</v>
      </c>
      <c r="L28" s="24" t="s">
        <v>100</v>
      </c>
      <c r="M28" s="25" t="s">
        <v>85</v>
      </c>
      <c r="N28" s="25"/>
      <c r="O28" s="26" t="s">
        <v>71</v>
      </c>
      <c r="P28" s="26" t="s">
        <v>72</v>
      </c>
    </row>
    <row r="29" spans="1:16" ht="12.75" customHeight="1" thickBot="1" x14ac:dyDescent="0.25">
      <c r="A29" s="3" t="str">
        <f t="shared" si="0"/>
        <v>IBVS 5809 </v>
      </c>
      <c r="B29" s="2" t="str">
        <f t="shared" si="1"/>
        <v>II</v>
      </c>
      <c r="C29" s="3">
        <f t="shared" si="2"/>
        <v>52888.912100000001</v>
      </c>
      <c r="D29" s="4" t="str">
        <f t="shared" si="3"/>
        <v>vis</v>
      </c>
      <c r="E29" s="23">
        <f>VLOOKUP(C29,Active!C$21:E$973,3,FALSE)</f>
        <v>511.01397570933636</v>
      </c>
      <c r="F29" s="2" t="s">
        <v>54</v>
      </c>
      <c r="G29" s="4" t="str">
        <f t="shared" si="4"/>
        <v>52888.9121</v>
      </c>
      <c r="H29" s="3">
        <f t="shared" si="5"/>
        <v>28924.5</v>
      </c>
      <c r="I29" s="24" t="s">
        <v>101</v>
      </c>
      <c r="J29" s="25" t="s">
        <v>102</v>
      </c>
      <c r="K29" s="24">
        <v>28924.5</v>
      </c>
      <c r="L29" s="24" t="s">
        <v>103</v>
      </c>
      <c r="M29" s="25" t="s">
        <v>104</v>
      </c>
      <c r="N29" s="25" t="s">
        <v>54</v>
      </c>
      <c r="O29" s="26" t="s">
        <v>105</v>
      </c>
      <c r="P29" s="27" t="s">
        <v>106</v>
      </c>
    </row>
    <row r="30" spans="1:16" x14ac:dyDescent="0.2">
      <c r="B30" s="2"/>
      <c r="F30" s="2"/>
    </row>
    <row r="31" spans="1:16" x14ac:dyDescent="0.2">
      <c r="B31" s="2"/>
      <c r="F31" s="2"/>
    </row>
    <row r="32" spans="1:16" x14ac:dyDescent="0.2">
      <c r="B32" s="2"/>
      <c r="F32" s="2"/>
    </row>
    <row r="33" spans="2:6" x14ac:dyDescent="0.2">
      <c r="B33" s="2"/>
      <c r="F33" s="2"/>
    </row>
    <row r="34" spans="2:6" x14ac:dyDescent="0.2">
      <c r="B34" s="2"/>
      <c r="F34" s="2"/>
    </row>
    <row r="35" spans="2:6" x14ac:dyDescent="0.2">
      <c r="B35" s="2"/>
      <c r="F35" s="2"/>
    </row>
    <row r="36" spans="2:6" x14ac:dyDescent="0.2">
      <c r="B36" s="2"/>
      <c r="F36" s="2"/>
    </row>
    <row r="37" spans="2:6" x14ac:dyDescent="0.2">
      <c r="B37" s="2"/>
      <c r="F37" s="2"/>
    </row>
    <row r="38" spans="2:6" x14ac:dyDescent="0.2">
      <c r="B38" s="2"/>
      <c r="F38" s="2"/>
    </row>
    <row r="39" spans="2:6" x14ac:dyDescent="0.2">
      <c r="B39" s="2"/>
      <c r="F39" s="2"/>
    </row>
    <row r="40" spans="2:6" x14ac:dyDescent="0.2">
      <c r="B40" s="2"/>
      <c r="F40" s="2"/>
    </row>
    <row r="41" spans="2:6" x14ac:dyDescent="0.2">
      <c r="B41" s="2"/>
      <c r="F41" s="2"/>
    </row>
    <row r="42" spans="2:6" x14ac:dyDescent="0.2">
      <c r="B42" s="2"/>
      <c r="F42" s="2"/>
    </row>
    <row r="43" spans="2:6" x14ac:dyDescent="0.2">
      <c r="B43" s="2"/>
      <c r="F43" s="2"/>
    </row>
    <row r="44" spans="2:6" x14ac:dyDescent="0.2">
      <c r="B44" s="2"/>
      <c r="F44" s="2"/>
    </row>
    <row r="45" spans="2:6" x14ac:dyDescent="0.2">
      <c r="B45" s="2"/>
      <c r="F45" s="2"/>
    </row>
    <row r="46" spans="2:6" x14ac:dyDescent="0.2">
      <c r="B46" s="2"/>
      <c r="F46" s="2"/>
    </row>
    <row r="47" spans="2:6" x14ac:dyDescent="0.2">
      <c r="B47" s="2"/>
      <c r="F47" s="2"/>
    </row>
    <row r="48" spans="2:6" x14ac:dyDescent="0.2">
      <c r="B48" s="2"/>
      <c r="F48" s="2"/>
    </row>
    <row r="49" spans="2:6" x14ac:dyDescent="0.2">
      <c r="B49" s="2"/>
      <c r="F49" s="2"/>
    </row>
    <row r="50" spans="2:6" x14ac:dyDescent="0.2">
      <c r="B50" s="2"/>
      <c r="F50" s="2"/>
    </row>
    <row r="51" spans="2:6" x14ac:dyDescent="0.2">
      <c r="B51" s="2"/>
      <c r="F51" s="2"/>
    </row>
    <row r="52" spans="2:6" x14ac:dyDescent="0.2">
      <c r="B52" s="2"/>
      <c r="F52" s="2"/>
    </row>
    <row r="53" spans="2:6" x14ac:dyDescent="0.2">
      <c r="B53" s="2"/>
      <c r="F53" s="2"/>
    </row>
    <row r="54" spans="2:6" x14ac:dyDescent="0.2">
      <c r="B54" s="2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</sheetData>
  <phoneticPr fontId="7" type="noConversion"/>
  <hyperlinks>
    <hyperlink ref="P29" r:id="rId1" display="http://www.konkoly.hu/cgi-bin/IBVS?5809"/>
    <hyperlink ref="P11" r:id="rId2" display="http://www.konkoly.hu/cgi-bin/IBVS?5690"/>
    <hyperlink ref="P12" r:id="rId3" display="http://www.konkoly.hu/cgi-bin/IBVS?5690"/>
    <hyperlink ref="P13" r:id="rId4" display="http://www.konkoly.hu/cgi-bin/IBVS?5843"/>
    <hyperlink ref="P14" r:id="rId5" display="http://www.konkoly.hu/cgi-bin/IBVS?602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2024-03-05T06:38:29Z</dcterms:modified>
</cp:coreProperties>
</file>