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B69DEDB-FD6A-47C9-8F4D-823E1F1D571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E76" i="1"/>
  <c r="F76" i="1"/>
  <c r="E81" i="1"/>
  <c r="F81" i="1"/>
  <c r="E84" i="1"/>
  <c r="F84" i="1"/>
  <c r="E23" i="1"/>
  <c r="F23" i="1"/>
  <c r="E26" i="1"/>
  <c r="F26" i="1"/>
  <c r="E31" i="1"/>
  <c r="F31" i="1"/>
  <c r="G31" i="1"/>
  <c r="H31" i="1"/>
  <c r="E34" i="1"/>
  <c r="F34" i="1"/>
  <c r="G34" i="1"/>
  <c r="H34" i="1"/>
  <c r="E35" i="1"/>
  <c r="F35" i="1"/>
  <c r="E39" i="1"/>
  <c r="F39" i="1"/>
  <c r="G39" i="1"/>
  <c r="H39" i="1"/>
  <c r="E42" i="1"/>
  <c r="F42" i="1"/>
  <c r="G42" i="1"/>
  <c r="H42" i="1"/>
  <c r="E43" i="1"/>
  <c r="F43" i="1"/>
  <c r="E47" i="1"/>
  <c r="F47" i="1"/>
  <c r="G47" i="1"/>
  <c r="H47" i="1"/>
  <c r="E48" i="1"/>
  <c r="F48" i="1"/>
  <c r="E50" i="1"/>
  <c r="F50" i="1"/>
  <c r="G50" i="1"/>
  <c r="H50" i="1"/>
  <c r="E51" i="1"/>
  <c r="F51" i="1"/>
  <c r="Q90" i="1"/>
  <c r="C7" i="1"/>
  <c r="E90" i="1"/>
  <c r="F90" i="1"/>
  <c r="C8" i="1"/>
  <c r="E44" i="1"/>
  <c r="F44" i="1"/>
  <c r="G44" i="1"/>
  <c r="H44" i="1"/>
  <c r="Q71" i="1"/>
  <c r="Q70" i="1"/>
  <c r="Q68" i="1"/>
  <c r="Q67" i="1"/>
  <c r="Q65" i="1"/>
  <c r="Q63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8" i="2"/>
  <c r="C28" i="2"/>
  <c r="G27" i="2"/>
  <c r="C27" i="2"/>
  <c r="G26" i="2"/>
  <c r="C26" i="2"/>
  <c r="G25" i="2"/>
  <c r="C25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G18" i="2"/>
  <c r="C18" i="2"/>
  <c r="G71" i="2"/>
  <c r="C71" i="2"/>
  <c r="G70" i="2"/>
  <c r="C70" i="2"/>
  <c r="G17" i="2"/>
  <c r="C17" i="2"/>
  <c r="G69" i="2"/>
  <c r="C69" i="2"/>
  <c r="G68" i="2"/>
  <c r="C68" i="2"/>
  <c r="G16" i="2"/>
  <c r="C16" i="2"/>
  <c r="G67" i="2"/>
  <c r="C67" i="2"/>
  <c r="G15" i="2"/>
  <c r="C15" i="2"/>
  <c r="G66" i="2"/>
  <c r="C66" i="2"/>
  <c r="G14" i="2"/>
  <c r="C14" i="2"/>
  <c r="G13" i="2"/>
  <c r="C13" i="2"/>
  <c r="G12" i="2"/>
  <c r="C12" i="2"/>
  <c r="G11" i="2"/>
  <c r="C11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E58" i="2"/>
  <c r="G57" i="2"/>
  <c r="C57" i="2"/>
  <c r="E57" i="2"/>
  <c r="G56" i="2"/>
  <c r="C56" i="2"/>
  <c r="G55" i="2"/>
  <c r="C55" i="2"/>
  <c r="E55" i="2"/>
  <c r="G54" i="2"/>
  <c r="C54" i="2"/>
  <c r="E54" i="2"/>
  <c r="G53" i="2"/>
  <c r="C53" i="2"/>
  <c r="G52" i="2"/>
  <c r="C52" i="2"/>
  <c r="G51" i="2"/>
  <c r="C51" i="2"/>
  <c r="E51" i="2"/>
  <c r="G50" i="2"/>
  <c r="C50" i="2"/>
  <c r="E50" i="2"/>
  <c r="G49" i="2"/>
  <c r="C49" i="2"/>
  <c r="E49" i="2"/>
  <c r="G48" i="2"/>
  <c r="C48" i="2"/>
  <c r="G47" i="2"/>
  <c r="C47" i="2"/>
  <c r="G46" i="2"/>
  <c r="C46" i="2"/>
  <c r="E46" i="2"/>
  <c r="G45" i="2"/>
  <c r="C45" i="2"/>
  <c r="G44" i="2"/>
  <c r="C44" i="2"/>
  <c r="G43" i="2"/>
  <c r="C43" i="2"/>
  <c r="E43" i="2"/>
  <c r="G42" i="2"/>
  <c r="C42" i="2"/>
  <c r="E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E31" i="2"/>
  <c r="G30" i="2"/>
  <c r="C30" i="2"/>
  <c r="G29" i="2"/>
  <c r="C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71" i="2"/>
  <c r="D71" i="2"/>
  <c r="B71" i="2"/>
  <c r="A71" i="2"/>
  <c r="H70" i="2"/>
  <c r="D70" i="2"/>
  <c r="B70" i="2"/>
  <c r="A70" i="2"/>
  <c r="H17" i="2"/>
  <c r="D17" i="2"/>
  <c r="B17" i="2"/>
  <c r="A17" i="2"/>
  <c r="H69" i="2"/>
  <c r="D69" i="2"/>
  <c r="B69" i="2"/>
  <c r="A69" i="2"/>
  <c r="H68" i="2"/>
  <c r="D68" i="2"/>
  <c r="B68" i="2"/>
  <c r="A68" i="2"/>
  <c r="H16" i="2"/>
  <c r="D16" i="2"/>
  <c r="B16" i="2"/>
  <c r="A16" i="2"/>
  <c r="H67" i="2"/>
  <c r="D67" i="2"/>
  <c r="B67" i="2"/>
  <c r="A67" i="2"/>
  <c r="H15" i="2"/>
  <c r="D15" i="2"/>
  <c r="B15" i="2"/>
  <c r="A15" i="2"/>
  <c r="H66" i="2"/>
  <c r="D66" i="2"/>
  <c r="B66" i="2"/>
  <c r="A66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89" i="1"/>
  <c r="Q88" i="1"/>
  <c r="Q73" i="1"/>
  <c r="Q87" i="1"/>
  <c r="Q86" i="1"/>
  <c r="Q85" i="1"/>
  <c r="F16" i="1"/>
  <c r="F17" i="1" s="1"/>
  <c r="C17" i="1"/>
  <c r="Q79" i="1"/>
  <c r="Q80" i="1"/>
  <c r="Q81" i="1"/>
  <c r="Q82" i="1"/>
  <c r="Q83" i="1"/>
  <c r="Q84" i="1"/>
  <c r="Q66" i="1"/>
  <c r="Q69" i="1"/>
  <c r="Q78" i="1"/>
  <c r="Q74" i="1"/>
  <c r="Q77" i="1"/>
  <c r="Q75" i="1"/>
  <c r="Q76" i="1"/>
  <c r="Q72" i="1"/>
  <c r="Q64" i="1"/>
  <c r="Q60" i="1"/>
  <c r="Q61" i="1"/>
  <c r="Q62" i="1"/>
  <c r="Q59" i="1"/>
  <c r="Q36" i="1"/>
  <c r="E59" i="2"/>
  <c r="E68" i="2"/>
  <c r="E63" i="2"/>
  <c r="E65" i="2"/>
  <c r="E28" i="2"/>
  <c r="E66" i="2"/>
  <c r="E33" i="2"/>
  <c r="E12" i="2"/>
  <c r="E38" i="2"/>
  <c r="E27" i="1"/>
  <c r="F27" i="1"/>
  <c r="E66" i="1"/>
  <c r="F66" i="1"/>
  <c r="G66" i="1"/>
  <c r="K66" i="1"/>
  <c r="E77" i="1"/>
  <c r="E61" i="1"/>
  <c r="E63" i="1"/>
  <c r="F63" i="1"/>
  <c r="E86" i="1"/>
  <c r="F86" i="1"/>
  <c r="E40" i="1"/>
  <c r="F40" i="1"/>
  <c r="E32" i="1"/>
  <c r="G26" i="1"/>
  <c r="H26" i="1"/>
  <c r="E24" i="1"/>
  <c r="G84" i="1"/>
  <c r="I84" i="1"/>
  <c r="E82" i="1"/>
  <c r="F82" i="1"/>
  <c r="G82" i="1"/>
  <c r="I82" i="1"/>
  <c r="G76" i="1"/>
  <c r="J76" i="1"/>
  <c r="E74" i="1"/>
  <c r="F74" i="1"/>
  <c r="G60" i="1"/>
  <c r="K60" i="1"/>
  <c r="E67" i="1"/>
  <c r="F67" i="1"/>
  <c r="G58" i="1"/>
  <c r="H58" i="1"/>
  <c r="E56" i="1"/>
  <c r="F56" i="1"/>
  <c r="G85" i="1"/>
  <c r="I85" i="1"/>
  <c r="E45" i="1"/>
  <c r="E37" i="1"/>
  <c r="E29" i="1"/>
  <c r="G23" i="1"/>
  <c r="H23" i="1"/>
  <c r="E21" i="1"/>
  <c r="G81" i="1"/>
  <c r="I81" i="1"/>
  <c r="E79" i="1"/>
  <c r="F79" i="1"/>
  <c r="G79" i="1"/>
  <c r="I79" i="1"/>
  <c r="E64" i="1"/>
  <c r="F64" i="1"/>
  <c r="G64" i="1"/>
  <c r="K64" i="1"/>
  <c r="E68" i="1"/>
  <c r="F68" i="1"/>
  <c r="G68" i="1"/>
  <c r="K68" i="1"/>
  <c r="E53" i="1"/>
  <c r="E88" i="1"/>
  <c r="F88" i="1"/>
  <c r="G88" i="1"/>
  <c r="I88" i="1"/>
  <c r="E60" i="1"/>
  <c r="F60" i="1"/>
  <c r="E58" i="1"/>
  <c r="F58" i="1"/>
  <c r="E85" i="1"/>
  <c r="F85" i="1"/>
  <c r="E73" i="1"/>
  <c r="E71" i="1"/>
  <c r="F71" i="1"/>
  <c r="G71" i="1"/>
  <c r="K71" i="1"/>
  <c r="E55" i="1"/>
  <c r="F55" i="1"/>
  <c r="G55" i="1"/>
  <c r="H55" i="1"/>
  <c r="E52" i="1"/>
  <c r="F52" i="1"/>
  <c r="G52" i="1"/>
  <c r="H52" i="1"/>
  <c r="E36" i="1"/>
  <c r="F36" i="1"/>
  <c r="G36" i="1"/>
  <c r="H36" i="1"/>
  <c r="E28" i="1"/>
  <c r="G22" i="1"/>
  <c r="H22" i="1"/>
  <c r="E69" i="1"/>
  <c r="G80" i="1"/>
  <c r="I80" i="1"/>
  <c r="E78" i="1"/>
  <c r="E62" i="1"/>
  <c r="E65" i="1"/>
  <c r="E87" i="1"/>
  <c r="G90" i="1"/>
  <c r="K90" i="1"/>
  <c r="G51" i="1"/>
  <c r="H51" i="1"/>
  <c r="E49" i="1"/>
  <c r="G43" i="1"/>
  <c r="H43" i="1"/>
  <c r="E41" i="1"/>
  <c r="G35" i="1"/>
  <c r="H35" i="1"/>
  <c r="E33" i="1"/>
  <c r="F33" i="1"/>
  <c r="G33" i="1"/>
  <c r="H33" i="1"/>
  <c r="G27" i="1"/>
  <c r="H27" i="1"/>
  <c r="E25" i="1"/>
  <c r="F25" i="1"/>
  <c r="G25" i="1"/>
  <c r="H25" i="1"/>
  <c r="E83" i="1"/>
  <c r="F83" i="1"/>
  <c r="G83" i="1"/>
  <c r="I83" i="1"/>
  <c r="E75" i="1"/>
  <c r="F75" i="1"/>
  <c r="G75" i="1"/>
  <c r="J75" i="1"/>
  <c r="E59" i="1"/>
  <c r="F59" i="1"/>
  <c r="G59" i="1"/>
  <c r="I59" i="1"/>
  <c r="G63" i="1"/>
  <c r="K63" i="1"/>
  <c r="E57" i="1"/>
  <c r="G86" i="1"/>
  <c r="I86" i="1"/>
  <c r="G48" i="1"/>
  <c r="H48" i="1"/>
  <c r="E46" i="1"/>
  <c r="G40" i="1"/>
  <c r="H40" i="1"/>
  <c r="E38" i="1"/>
  <c r="E30" i="1"/>
  <c r="F30" i="1"/>
  <c r="G30" i="1"/>
  <c r="H30" i="1"/>
  <c r="E22" i="1"/>
  <c r="F22" i="1"/>
  <c r="E80" i="1"/>
  <c r="F80" i="1"/>
  <c r="G74" i="1"/>
  <c r="K74" i="1"/>
  <c r="E72" i="1"/>
  <c r="F72" i="1"/>
  <c r="G72" i="1"/>
  <c r="K72" i="1"/>
  <c r="G67" i="1"/>
  <c r="K67" i="1"/>
  <c r="E70" i="1"/>
  <c r="G56" i="1"/>
  <c r="H56" i="1"/>
  <c r="E54" i="1"/>
  <c r="E89" i="1"/>
  <c r="F89" i="1"/>
  <c r="G89" i="1"/>
  <c r="I89" i="1"/>
  <c r="F62" i="1"/>
  <c r="G62" i="1"/>
  <c r="K62" i="1"/>
  <c r="E14" i="2"/>
  <c r="F57" i="1"/>
  <c r="G57" i="1"/>
  <c r="H57" i="1"/>
  <c r="E64" i="2"/>
  <c r="E25" i="2"/>
  <c r="E35" i="2"/>
  <c r="F65" i="1"/>
  <c r="G65" i="1"/>
  <c r="K65" i="1"/>
  <c r="E67" i="2"/>
  <c r="F54" i="1"/>
  <c r="G54" i="1"/>
  <c r="H54" i="1"/>
  <c r="E61" i="2"/>
  <c r="F45" i="1"/>
  <c r="G45" i="1"/>
  <c r="H45" i="1"/>
  <c r="E52" i="2"/>
  <c r="E47" i="2"/>
  <c r="F70" i="1"/>
  <c r="G70" i="1"/>
  <c r="K70" i="1"/>
  <c r="E70" i="2"/>
  <c r="F78" i="1"/>
  <c r="G78" i="1"/>
  <c r="J78" i="1"/>
  <c r="E24" i="2"/>
  <c r="E32" i="2"/>
  <c r="F24" i="1"/>
  <c r="G24" i="1"/>
  <c r="H24" i="1"/>
  <c r="E21" i="2"/>
  <c r="E20" i="2"/>
  <c r="E30" i="2"/>
  <c r="F61" i="1"/>
  <c r="G61" i="1"/>
  <c r="K61" i="1"/>
  <c r="E13" i="2"/>
  <c r="E15" i="2"/>
  <c r="F38" i="1"/>
  <c r="G38" i="1"/>
  <c r="H38" i="1"/>
  <c r="E45" i="2"/>
  <c r="F69" i="1"/>
  <c r="G69" i="1"/>
  <c r="K69" i="1"/>
  <c r="E17" i="2"/>
  <c r="F53" i="1"/>
  <c r="G53" i="1"/>
  <c r="H53" i="1"/>
  <c r="E60" i="2"/>
  <c r="E29" i="2"/>
  <c r="F21" i="1"/>
  <c r="G21" i="1"/>
  <c r="E40" i="2"/>
  <c r="F32" i="1"/>
  <c r="G32" i="1"/>
  <c r="H32" i="1"/>
  <c r="E62" i="2"/>
  <c r="E11" i="2"/>
  <c r="E18" i="2"/>
  <c r="F77" i="1"/>
  <c r="G77" i="1"/>
  <c r="J77" i="1"/>
  <c r="E23" i="2"/>
  <c r="E19" i="2"/>
  <c r="F73" i="1"/>
  <c r="G73" i="1"/>
  <c r="K73" i="1"/>
  <c r="F87" i="1"/>
  <c r="G87" i="1"/>
  <c r="K87" i="1"/>
  <c r="E26" i="2"/>
  <c r="F41" i="1"/>
  <c r="G41" i="1"/>
  <c r="H41" i="1"/>
  <c r="E48" i="2"/>
  <c r="F46" i="1"/>
  <c r="G46" i="1"/>
  <c r="H46" i="1"/>
  <c r="E53" i="2"/>
  <c r="F28" i="1"/>
  <c r="G28" i="1"/>
  <c r="H28" i="1"/>
  <c r="E36" i="2"/>
  <c r="E37" i="2"/>
  <c r="F29" i="1"/>
  <c r="G29" i="1"/>
  <c r="H29" i="1"/>
  <c r="E69" i="2"/>
  <c r="F49" i="1"/>
  <c r="G49" i="1"/>
  <c r="H49" i="1"/>
  <c r="E56" i="2"/>
  <c r="F37" i="1"/>
  <c r="G37" i="1"/>
  <c r="H37" i="1"/>
  <c r="E44" i="2"/>
  <c r="E41" i="2"/>
  <c r="E27" i="2"/>
  <c r="E71" i="2"/>
  <c r="E16" i="2"/>
  <c r="H21" i="1"/>
  <c r="C12" i="1"/>
  <c r="C11" i="1"/>
  <c r="O73" i="1" l="1"/>
  <c r="O57" i="1"/>
  <c r="O89" i="1"/>
  <c r="O21" i="1"/>
  <c r="O56" i="1"/>
  <c r="O45" i="1"/>
  <c r="O36" i="1"/>
  <c r="O25" i="1"/>
  <c r="O30" i="1"/>
  <c r="O49" i="1"/>
  <c r="O59" i="1"/>
  <c r="O48" i="1"/>
  <c r="O37" i="1"/>
  <c r="O82" i="1"/>
  <c r="O75" i="1"/>
  <c r="O24" i="1"/>
  <c r="O70" i="1"/>
  <c r="O60" i="1"/>
  <c r="O83" i="1"/>
  <c r="O76" i="1"/>
  <c r="O80" i="1"/>
  <c r="O77" i="1"/>
  <c r="O86" i="1"/>
  <c r="O22" i="1"/>
  <c r="O43" i="1"/>
  <c r="O50" i="1"/>
  <c r="O87" i="1"/>
  <c r="O53" i="1"/>
  <c r="O74" i="1"/>
  <c r="O41" i="1"/>
  <c r="O84" i="1"/>
  <c r="O63" i="1"/>
  <c r="O40" i="1"/>
  <c r="O28" i="1"/>
  <c r="O64" i="1"/>
  <c r="O52" i="1"/>
  <c r="O23" i="1"/>
  <c r="O58" i="1"/>
  <c r="O85" i="1"/>
  <c r="O34" i="1"/>
  <c r="O79" i="1"/>
  <c r="O35" i="1"/>
  <c r="O42" i="1"/>
  <c r="O81" i="1"/>
  <c r="O39" i="1"/>
  <c r="O65" i="1"/>
  <c r="O62" i="1"/>
  <c r="O32" i="1"/>
  <c r="O68" i="1"/>
  <c r="O51" i="1"/>
  <c r="O31" i="1"/>
  <c r="O88" i="1"/>
  <c r="O66" i="1"/>
  <c r="O90" i="1"/>
  <c r="O69" i="1"/>
  <c r="O54" i="1"/>
  <c r="C15" i="1"/>
  <c r="O78" i="1"/>
  <c r="O61" i="1"/>
  <c r="O46" i="1"/>
  <c r="O55" i="1"/>
  <c r="O67" i="1"/>
  <c r="O71" i="1"/>
  <c r="O44" i="1"/>
  <c r="O72" i="1"/>
  <c r="O38" i="1"/>
  <c r="O47" i="1"/>
  <c r="O27" i="1"/>
  <c r="O33" i="1"/>
  <c r="O26" i="1"/>
  <c r="O2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<sst xmlns="http://schemas.openxmlformats.org/spreadsheetml/2006/main" count="720" uniqueCount="306">
  <si>
    <t>IBVS 6244</t>
  </si>
  <si>
    <t>0,005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</si>
  <si>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</si>
  <si>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</si>
  <si>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</si>
  <si>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</si>
  <si>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</si>
  <si>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</si>
  <si>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</si>
  <si>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</si>
  <si>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</si>
  <si>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</si>
  <si>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</si>
  <si>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</si>
  <si>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</si>
  <si>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</si>
  <si>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</si>
  <si>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</si>
  <si>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</si>
  <si>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</si>
  <si>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</si>
  <si>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</si>
  <si>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</si>
  <si>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</si>
  <si>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</si>
  <si>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</si>
  <si>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</si>
  <si>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</si>
  <si>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</si>
  <si>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</si>
  <si>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</si>
  <si>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Bull.115</t>
  </si>
  <si>
    <t>B</t>
  </si>
  <si>
    <t>II</t>
  </si>
  <si>
    <t>IBVS 5263</t>
  </si>
  <si>
    <t>IBVS 4888</t>
  </si>
  <si>
    <t>IBVS 5543</t>
  </si>
  <si>
    <t># of data points:</t>
  </si>
  <si>
    <t>IBVS 5657</t>
  </si>
  <si>
    <t>EA/SD:</t>
  </si>
  <si>
    <t>CX Ser / gsc 0341-0431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</si>
  <si>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</si>
  <si>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</si>
  <si>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</si>
  <si>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</si>
  <si>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</si>
  <si>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</si>
  <si>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</si>
  <si>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</si>
  <si>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</si>
  <si>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OEJV 0073</t>
  </si>
  <si>
    <t>OEJV 0074</t>
  </si>
  <si>
    <t>Add cycle</t>
  </si>
  <si>
    <t>Old Cycle</t>
  </si>
  <si>
    <t>OEJV 0130</t>
  </si>
  <si>
    <t>IBVS 5602</t>
  </si>
  <si>
    <t>I</t>
  </si>
  <si>
    <t>IBVS 5992</t>
  </si>
  <si>
    <t>OEJV 0142</t>
  </si>
  <si>
    <t>OEJV 0155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</si>
  <si>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</si>
  <si>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</si>
  <si>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</si>
  <si>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</si>
  <si>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</si>
  <si>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</si>
  <si>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</si>
  <si>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</si>
  <si>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</si>
  <si>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</si>
  <si>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</si>
  <si>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</si>
  <si>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2425361.316 </t>
  </si>
  <si>
    <t> 24.04.1928 19:35 </t>
  </si>
  <si>
    <t> -0.066 </t>
  </si>
  <si>
    <t>P </t>
  </si>
  <si>
    <t> W.Zessewitsch </t>
  </si>
  <si>
    <t> PZ 20.331 </t>
  </si>
  <si>
    <t>2425378.337 </t>
  </si>
  <si>
    <t> 11.05.1928 20:05 </t>
  </si>
  <si>
    <t> 0.001 </t>
  </si>
  <si>
    <t>2425389.306 </t>
  </si>
  <si>
    <t> 22.05.1928 19:20 </t>
  </si>
  <si>
    <t> 0.000 </t>
  </si>
  <si>
    <t>2425391.306 </t>
  </si>
  <si>
    <t> 24.05.1928 19:20 </t>
  </si>
  <si>
    <t> 0.006 </t>
  </si>
  <si>
    <t>2427580.359 </t>
  </si>
  <si>
    <t> 22.05.1934 20:36 </t>
  </si>
  <si>
    <t> 0.003 </t>
  </si>
  <si>
    <t>2428654.434 </t>
  </si>
  <si>
    <t> 30.04.1937 22:24 </t>
  </si>
  <si>
    <t> -0.005 </t>
  </si>
  <si>
    <t>2428655.448 </t>
  </si>
  <si>
    <t> 01.05.1937 22:45 </t>
  </si>
  <si>
    <t> 0.011 </t>
  </si>
  <si>
    <t>2428656.393 </t>
  </si>
  <si>
    <t> 02.05.1937 21:25 </t>
  </si>
  <si>
    <t> -0.041 </t>
  </si>
  <si>
    <t>2428665.417 </t>
  </si>
  <si>
    <t> 11.05.1937 22:00 </t>
  </si>
  <si>
    <t> 0.008 </t>
  </si>
  <si>
    <t>2429335.585 </t>
  </si>
  <si>
    <t> 13.03.1939 02:02 </t>
  </si>
  <si>
    <t>2429727.500 </t>
  </si>
  <si>
    <t> 08.04.1940 00:00 </t>
  </si>
  <si>
    <t> -0.025 </t>
  </si>
  <si>
    <t>2429746.475 </t>
  </si>
  <si>
    <t> 26.04.1940 23:24 </t>
  </si>
  <si>
    <t>2430161.314 </t>
  </si>
  <si>
    <t> 15.06.1941 19:32 </t>
  </si>
  <si>
    <t> -0.033 </t>
  </si>
  <si>
    <t>2430171.315 </t>
  </si>
  <si>
    <t> 25.06.1941 19:33 </t>
  </si>
  <si>
    <t>2430933.236 </t>
  </si>
  <si>
    <t> 27.07.1943 17:39 </t>
  </si>
  <si>
    <t> -0.015 </t>
  </si>
  <si>
    <t>2431213.50 </t>
  </si>
  <si>
    <t> 03.05.1944 00:00 </t>
  </si>
  <si>
    <t> 0.01 </t>
  </si>
  <si>
    <t>V </t>
  </si>
  <si>
    <t> IODE 4.3.24 </t>
  </si>
  <si>
    <t>2431230.44 </t>
  </si>
  <si>
    <t> 19.05.1944 22:33 </t>
  </si>
  <si>
    <t> -0.00 </t>
  </si>
  <si>
    <t>2431231.43 </t>
  </si>
  <si>
    <t> 20.05.1944 22:19 </t>
  </si>
  <si>
    <t> -0.01 </t>
  </si>
  <si>
    <t>2431233.45 </t>
  </si>
  <si>
    <t> 22.05.1944 22:48 </t>
  </si>
  <si>
    <t>2431235.42 </t>
  </si>
  <si>
    <t> 24.05.1944 22:04 </t>
  </si>
  <si>
    <t>2431253.38 </t>
  </si>
  <si>
    <t> 11.06.1944 21:07 </t>
  </si>
  <si>
    <t>2431256.39 </t>
  </si>
  <si>
    <t> 14.06.1944 21:21 </t>
  </si>
  <si>
    <t> 0.02 </t>
  </si>
  <si>
    <t>2431259.35 </t>
  </si>
  <si>
    <t> 17.06.1944 20:24 </t>
  </si>
  <si>
    <t> -0.02 </t>
  </si>
  <si>
    <t>2431265.33 </t>
  </si>
  <si>
    <t> 23.06.1944 19:55 </t>
  </si>
  <si>
    <t>2431266.33 </t>
  </si>
  <si>
    <t> 24.06.1944 19:55 </t>
  </si>
  <si>
    <t>2431267.35 </t>
  </si>
  <si>
    <t> 25.06.1944 20:24 </t>
  </si>
  <si>
    <t>2431606.434 </t>
  </si>
  <si>
    <t> 30.05.1945 22:24 </t>
  </si>
  <si>
    <t>2431648.298 </t>
  </si>
  <si>
    <t> 11.07.1945 19:09 </t>
  </si>
  <si>
    <t> -0.011 </t>
  </si>
  <si>
    <t>2431906.589 </t>
  </si>
  <si>
    <t> 27.03.1946 02:08 </t>
  </si>
  <si>
    <t> -0.019 </t>
  </si>
  <si>
    <t>2432413.237 </t>
  </si>
  <si>
    <t> 15.08.1947 17:41 </t>
  </si>
  <si>
    <t> 0.005 </t>
  </si>
  <si>
    <t>2432682.490 </t>
  </si>
  <si>
    <t> 10.05.1948 23:45 </t>
  </si>
  <si>
    <t>2432786.237 </t>
  </si>
  <si>
    <t> 22.08.1948 17:41 </t>
  </si>
  <si>
    <t> 0.018 </t>
  </si>
  <si>
    <t>2433088.403 </t>
  </si>
  <si>
    <t> 20.06.1949 21:40 </t>
  </si>
  <si>
    <t> 0.004 </t>
  </si>
  <si>
    <t>2436376.456 </t>
  </si>
  <si>
    <t> 21.06.1958 22:56 </t>
  </si>
  <si>
    <t> -0.014 </t>
  </si>
  <si>
    <t>2436395.410 </t>
  </si>
  <si>
    <t> 10.07.1958 21:50 </t>
  </si>
  <si>
    <t> -0.008 </t>
  </si>
  <si>
    <t>2436723.491 </t>
  </si>
  <si>
    <t> 03.06.1959 23:47 </t>
  </si>
  <si>
    <t> -0.036 </t>
  </si>
  <si>
    <t>2436762.386 </t>
  </si>
  <si>
    <t> 12.07.1959 21:15 </t>
  </si>
  <si>
    <t>2450515.500 </t>
  </si>
  <si>
    <t> 08.03.1997 00:00 </t>
  </si>
  <si>
    <t> -0.074 </t>
  </si>
  <si>
    <t>E </t>
  </si>
  <si>
    <t>?</t>
  </si>
  <si>
    <t> A.Paschke </t>
  </si>
  <si>
    <t> BBS 115 </t>
  </si>
  <si>
    <t>2450849.6004 </t>
  </si>
  <si>
    <t> 05.02.1998 02:24 </t>
  </si>
  <si>
    <t> -0.0665 </t>
  </si>
  <si>
    <t> J.Safar </t>
  </si>
  <si>
    <t>IBVS 4888 </t>
  </si>
  <si>
    <t>2450921.4009 </t>
  </si>
  <si>
    <t> 17.04.1998 21:37 </t>
  </si>
  <si>
    <t> -0.0710 </t>
  </si>
  <si>
    <t> M.Zejda </t>
  </si>
  <si>
    <t>2450927.3844 </t>
  </si>
  <si>
    <t> 23.04.1998 21:13 </t>
  </si>
  <si>
    <t> -0.0713 </t>
  </si>
  <si>
    <t>2451250.50 </t>
  </si>
  <si>
    <t> 13.03.1999 00:00 </t>
  </si>
  <si>
    <t> -0.08 </t>
  </si>
  <si>
    <t> BBS 121 </t>
  </si>
  <si>
    <t>2451270.4526 </t>
  </si>
  <si>
    <t> 01.04.1999 22:51 </t>
  </si>
  <si>
    <t> -0.0714 </t>
  </si>
  <si>
    <t>IBVS 5263 </t>
  </si>
  <si>
    <t>2451610.5291 </t>
  </si>
  <si>
    <t> 07.03.2000 00:41 </t>
  </si>
  <si>
    <t> BBS 122 </t>
  </si>
  <si>
    <t>2451649.42197 </t>
  </si>
  <si>
    <t> 14.04.2000 22:07 </t>
  </si>
  <si>
    <t> -0.07295 </t>
  </si>
  <si>
    <t>C </t>
  </si>
  <si>
    <t>o</t>
  </si>
  <si>
    <t> J.Šafár </t>
  </si>
  <si>
    <t>OEJV 0074 </t>
  </si>
  <si>
    <t>2451664.3831 </t>
  </si>
  <si>
    <t> 29.04.2000 21:11 </t>
  </si>
  <si>
    <t> -0.0712 </t>
  </si>
  <si>
    <t> K.Koss </t>
  </si>
  <si>
    <t> BRNO 32 </t>
  </si>
  <si>
    <t>2451955.5919 </t>
  </si>
  <si>
    <t> 15.02.2001 02:12 </t>
  </si>
  <si>
    <t> -0.0716 </t>
  </si>
  <si>
    <t> R.Diethelm </t>
  </si>
  <si>
    <t> BBS 124 </t>
  </si>
  <si>
    <t>2452321.59593 </t>
  </si>
  <si>
    <t> 16.02.2002 02:18 </t>
  </si>
  <si>
    <t> -0.07366 </t>
  </si>
  <si>
    <t>2452362.480 </t>
  </si>
  <si>
    <t> 28.03.2002 23:31 </t>
  </si>
  <si>
    <t> -0.079 </t>
  </si>
  <si>
    <t> BBS 128 </t>
  </si>
  <si>
    <t>2452395.403 </t>
  </si>
  <si>
    <t> 30.04.2002 21:40 </t>
  </si>
  <si>
    <t> E.Blättler </t>
  </si>
  <si>
    <t>2453050.611 </t>
  </si>
  <si>
    <t> 15.02.2004 02:39 </t>
  </si>
  <si>
    <t> BBS 130 </t>
  </si>
  <si>
    <t>2453143.8626 </t>
  </si>
  <si>
    <t> 18.05.2004 08:42 </t>
  </si>
  <si>
    <t> -0.0741 </t>
  </si>
  <si>
    <t> R.Nelson </t>
  </si>
  <si>
    <t>IBVS 5602 </t>
  </si>
  <si>
    <t>2453447.530 </t>
  </si>
  <si>
    <t> 18.03.2005 00:43 </t>
  </si>
  <si>
    <t> -0.082 </t>
  </si>
  <si>
    <t>IBVS 5653 </t>
  </si>
  <si>
    <t>2453492.4138 </t>
  </si>
  <si>
    <t> 01.05.2005 21:55 </t>
  </si>
  <si>
    <t> -0.0764 </t>
  </si>
  <si>
    <t>-I</t>
  </si>
  <si>
    <t> P.Frank </t>
  </si>
  <si>
    <t>BAVM 173 </t>
  </si>
  <si>
    <t>2453503.3859 </t>
  </si>
  <si>
    <t> 12.05.2005 21:15 </t>
  </si>
  <si>
    <t>22350.5</t>
  </si>
  <si>
    <t> -0.0745 </t>
  </si>
  <si>
    <t>2453814.5349 </t>
  </si>
  <si>
    <t> 20.03.2006 00:50 </t>
  </si>
  <si>
    <t>22662.5</t>
  </si>
  <si>
    <t> -0.0805 </t>
  </si>
  <si>
    <t>BAVM 178 </t>
  </si>
  <si>
    <t>2454207.4727 </t>
  </si>
  <si>
    <t> 16.04.2007 23:20 </t>
  </si>
  <si>
    <t>23056.5</t>
  </si>
  <si>
    <t> -0.0757 </t>
  </si>
  <si>
    <t>BAVM 186 </t>
  </si>
  <si>
    <t>2454271.297 </t>
  </si>
  <si>
    <t> 19.06.2007 19:07 </t>
  </si>
  <si>
    <t>23120.5</t>
  </si>
  <si>
    <t> -0.078 </t>
  </si>
  <si>
    <t>OEJV 0073 </t>
  </si>
  <si>
    <t>2454274.289 </t>
  </si>
  <si>
    <t> 22.06.2007 18:56 </t>
  </si>
  <si>
    <t>23123.5</t>
  </si>
  <si>
    <t>2454280.273 </t>
  </si>
  <si>
    <t> 28.06.2007 18:33 </t>
  </si>
  <si>
    <t>23129.5</t>
  </si>
  <si>
    <t>2454281.274 </t>
  </si>
  <si>
    <t> 29.06.2007 18:34 </t>
  </si>
  <si>
    <t>23130.5</t>
  </si>
  <si>
    <t>2454285.258 </t>
  </si>
  <si>
    <t> 03.07.2007 18:11 </t>
  </si>
  <si>
    <t>23134.5</t>
  </si>
  <si>
    <t>2454288.251 </t>
  </si>
  <si>
    <t> 06.07.2007 18:01 </t>
  </si>
  <si>
    <t>23137.5</t>
  </si>
  <si>
    <t>2455593.707 </t>
  </si>
  <si>
    <t> 01.02.2011 04:58 </t>
  </si>
  <si>
    <t>24446.5</t>
  </si>
  <si>
    <t> -0.077 </t>
  </si>
  <si>
    <t>OEJV 0142 </t>
  </si>
  <si>
    <t>2455723.8523 </t>
  </si>
  <si>
    <t> 11.06.2011 08:27 </t>
  </si>
  <si>
    <t>24577</t>
  </si>
  <si>
    <t> -0.0783 </t>
  </si>
  <si>
    <t>IBVS 5992 </t>
  </si>
  <si>
    <t>2456015.5600 </t>
  </si>
  <si>
    <t> 29.03.2012 01:26 </t>
  </si>
  <si>
    <t>24869.5</t>
  </si>
  <si>
    <t> -0.0784 </t>
  </si>
  <si>
    <t>ns</t>
  </si>
  <si>
    <t>OEJV 0155 </t>
  </si>
  <si>
    <t>2457153.471 </t>
  </si>
  <si>
    <t> 10.05.2015 23:18 </t>
  </si>
  <si>
    <t>26010.5</t>
  </si>
  <si>
    <t>OEJV 0172 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</si>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</sst>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176" fontId="18" fillId="0" borderId="0" xfId="0" applyNumberFormat="1" applyFont="1" applyFill="1" applyBorder="1" applyAlignment="1" applyProtection="1">
      <alignment horizontal="left" vertical="top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Ser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-6.5717600002244581E-2</c:v>
                </c:pt>
                <c:pt idx="1">
                  <c:v>1.3217999985499773E-3</c:v>
                </c:pt>
                <c:pt idx="2">
                  <c:v>1.1199999789823778E-4</c:v>
                </c:pt>
                <c:pt idx="3">
                  <c:v>5.5283999972743914E-3</c:v>
                </c:pt>
                <c:pt idx="4">
                  <c:v>3.027399998245528E-3</c:v>
                </c:pt>
                <c:pt idx="5">
                  <c:v>-5.2412000004551373E-3</c:v>
                </c:pt>
                <c:pt idx="6">
                  <c:v>1.1467000000266125E-2</c:v>
                </c:pt>
                <c:pt idx="7">
                  <c:v>-4.0824800002155825E-2</c:v>
                </c:pt>
                <c:pt idx="8">
                  <c:v>7.5489999981073197E-3</c:v>
                </c:pt>
                <c:pt idx="9">
                  <c:v>-4.5406000026559923E-3</c:v>
                </c:pt>
                <c:pt idx="10">
                  <c:v>-2.521800000249641E-2</c:v>
                </c:pt>
                <c:pt idx="11">
                  <c:v>1.2377999955788255E-3</c:v>
                </c:pt>
                <c:pt idx="12">
                  <c:v>-3.3151000003272202E-2</c:v>
                </c:pt>
                <c:pt idx="13">
                  <c:v>-5.0690000025497284E-3</c:v>
                </c:pt>
                <c:pt idx="14">
                  <c:v>-1.5004200002294965E-2</c:v>
                </c:pt>
                <c:pt idx="15">
                  <c:v>0</c:v>
                </c:pt>
                <c:pt idx="16">
                  <c:v>9.9999999983992893E-3</c:v>
                </c:pt>
                <c:pt idx="17">
                  <c:v>-3.9606000027561095E-3</c:v>
                </c:pt>
                <c:pt idx="18">
                  <c:v>-1.1252399999648333E-2</c:v>
                </c:pt>
                <c:pt idx="19">
                  <c:v>1.4164000000164378E-2</c:v>
                </c:pt>
                <c:pt idx="20">
                  <c:v>-1.0419600002933294E-2</c:v>
                </c:pt>
                <c:pt idx="21">
                  <c:v>-1.6720000021450687E-3</c:v>
                </c:pt>
                <c:pt idx="22">
                  <c:v>1.645259999713744E-2</c:v>
                </c:pt>
                <c:pt idx="23">
                  <c:v>-1.5422800002852455E-2</c:v>
                </c:pt>
                <c:pt idx="24">
                  <c:v>-1.9173600001522573E-2</c:v>
                </c:pt>
                <c:pt idx="25">
                  <c:v>-1.6465400000015507E-2</c:v>
                </c:pt>
                <c:pt idx="26">
                  <c:v>6.2427999982901383E-3</c:v>
                </c:pt>
                <c:pt idx="27">
                  <c:v>1.1030800000298768E-2</c:v>
                </c:pt>
                <c:pt idx="28">
                  <c:v>-1.1224800004129065E-2</c:v>
                </c:pt>
                <c:pt idx="29">
                  <c:v>-1.8801000001985813E-2</c:v>
                </c:pt>
                <c:pt idx="30">
                  <c:v>4.9646000006760005E-3</c:v>
                </c:pt>
                <c:pt idx="31">
                  <c:v>-1.0821399999258574E-2</c:v>
                </c:pt>
                <c:pt idx="32">
                  <c:v>1.7831400000432041E-2</c:v>
                </c:pt>
                <c:pt idx="33">
                  <c:v>4.4159999961266294E-3</c:v>
                </c:pt>
                <c:pt idx="34">
                  <c:v>-1.3648600004671607E-2</c:v>
                </c:pt>
                <c:pt idx="35">
                  <c:v>-8.1927999999606982E-3</c:v>
                </c:pt>
                <c:pt idx="36">
                  <c:v>-3.6195000000589062E-2</c:v>
                </c:pt>
                <c:pt idx="37">
                  <c:v>-3.5575200003222562E-2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9B-48CE-9024-8680E54FEC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38">
                  <c:v>-7.4143100006040186E-2</c:v>
                </c:pt>
                <c:pt idx="58">
                  <c:v>-7.8061900218017399E-2</c:v>
                </c:pt>
                <c:pt idx="59">
                  <c:v>-7.7937300127814524E-2</c:v>
                </c:pt>
                <c:pt idx="60">
                  <c:v>-7.7688099954684731E-2</c:v>
                </c:pt>
                <c:pt idx="61">
                  <c:v>-7.3979899796540849E-2</c:v>
                </c:pt>
                <c:pt idx="62">
                  <c:v>-7.9147100084810518E-2</c:v>
                </c:pt>
                <c:pt idx="63">
                  <c:v>-7.8022499837970827E-2</c:v>
                </c:pt>
                <c:pt idx="64">
                  <c:v>-7.8071699994325172E-2</c:v>
                </c:pt>
                <c:pt idx="65">
                  <c:v>-7.6988699998764787E-2</c:v>
                </c:pt>
                <c:pt idx="67">
                  <c:v>-7.8420100006042048E-2</c:v>
                </c:pt>
                <c:pt idx="68">
                  <c:v>-7.7363900003547315E-2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9B-48CE-9024-8680E54FEC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54">
                  <c:v>-7.6366100001905579E-2</c:v>
                </c:pt>
                <c:pt idx="55">
                  <c:v>-7.4475900000834372E-2</c:v>
                </c:pt>
                <c:pt idx="56">
                  <c:v>-8.0517499998677522E-2</c:v>
                </c:pt>
                <c:pt idx="57">
                  <c:v>-7.5686700001824647E-2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9B-48CE-9024-8680E54FEC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9">
                  <c:v>-6.6496099992946256E-2</c:v>
                </c:pt>
                <c:pt idx="40">
                  <c:v>-7.1005700003297534E-2</c:v>
                </c:pt>
                <c:pt idx="41">
                  <c:v>-7.1256499999435619E-2</c:v>
                </c:pt>
                <c:pt idx="42">
                  <c:v>-7.8199700001277961E-2</c:v>
                </c:pt>
                <c:pt idx="43">
                  <c:v>-7.1435700003348757E-2</c:v>
                </c:pt>
                <c:pt idx="44">
                  <c:v>-7.1439499995904043E-2</c:v>
                </c:pt>
                <c:pt idx="45">
                  <c:v>-7.29496999992989E-2</c:v>
                </c:pt>
                <c:pt idx="46">
                  <c:v>-7.1196700002474245E-2</c:v>
                </c:pt>
                <c:pt idx="47">
                  <c:v>-7.160229999863077E-2</c:v>
                </c:pt>
                <c:pt idx="48">
                  <c:v>-7.3662899994815234E-2</c:v>
                </c:pt>
                <c:pt idx="49">
                  <c:v>-7.8556699998443946E-2</c:v>
                </c:pt>
                <c:pt idx="50">
                  <c:v>-6.6186100004415493E-2</c:v>
                </c:pt>
                <c:pt idx="51">
                  <c:v>-7.8898700005083811E-2</c:v>
                </c:pt>
                <c:pt idx="52">
                  <c:v>-7.408199999917997E-2</c:v>
                </c:pt>
                <c:pt idx="53">
                  <c:v>-8.2035100000211969E-2</c:v>
                </c:pt>
                <c:pt idx="66">
                  <c:v>-7.8268600002047606E-2</c:v>
                </c:pt>
                <c:pt idx="69">
                  <c:v>-7.9963099997257814E-2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9B-48CE-9024-8680E54FEC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9B-48CE-9024-8680E54FEC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9B-48CE-9024-8680E54FEC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9B-48CE-9024-8680E54FEC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7.0354777918083949E-3</c:v>
                </c:pt>
                <c:pt idx="1">
                  <c:v>6.9863326362905737E-3</c:v>
                </c:pt>
                <c:pt idx="2">
                  <c:v>6.9545328297790469E-3</c:v>
                </c:pt>
                <c:pt idx="3">
                  <c:v>6.9487510467769499E-3</c:v>
                </c:pt>
                <c:pt idx="4">
                  <c:v>6.032442019762059E-4</c:v>
                </c:pt>
                <c:pt idx="5">
                  <c:v>-2.5102459446526785E-3</c:v>
                </c:pt>
                <c:pt idx="6">
                  <c:v>-2.513136836153727E-3</c:v>
                </c:pt>
                <c:pt idx="7">
                  <c:v>-2.5160277276547746E-3</c:v>
                </c:pt>
                <c:pt idx="8">
                  <c:v>-2.5420457511642087E-3</c:v>
                </c:pt>
                <c:pt idx="9">
                  <c:v>-4.4847248398685816E-3</c:v>
                </c:pt>
                <c:pt idx="10">
                  <c:v>-5.6208451997805144E-3</c:v>
                </c:pt>
                <c:pt idx="11">
                  <c:v>-5.6757721383004301E-3</c:v>
                </c:pt>
                <c:pt idx="12">
                  <c:v>-6.8783830027364708E-3</c:v>
                </c:pt>
                <c:pt idx="13">
                  <c:v>-6.9072919177469525E-3</c:v>
                </c:pt>
                <c:pt idx="14">
                  <c:v>-9.1159330245477576E-3</c:v>
                </c:pt>
                <c:pt idx="15">
                  <c:v>-9.9282735363422948E-3</c:v>
                </c:pt>
                <c:pt idx="16">
                  <c:v>-9.9282735363422948E-3</c:v>
                </c:pt>
                <c:pt idx="17">
                  <c:v>-9.9774186918601144E-3</c:v>
                </c:pt>
                <c:pt idx="18">
                  <c:v>-9.9803095833611612E-3</c:v>
                </c:pt>
                <c:pt idx="19">
                  <c:v>-9.9860913663632582E-3</c:v>
                </c:pt>
                <c:pt idx="20">
                  <c:v>-9.9918731493653552E-3</c:v>
                </c:pt>
                <c:pt idx="21">
                  <c:v>-1.0043909196384222E-2</c:v>
                </c:pt>
                <c:pt idx="22">
                  <c:v>-1.0052581870887367E-2</c:v>
                </c:pt>
                <c:pt idx="23">
                  <c:v>-1.0061254545390511E-2</c:v>
                </c:pt>
                <c:pt idx="24">
                  <c:v>-1.00785998943968E-2</c:v>
                </c:pt>
                <c:pt idx="25">
                  <c:v>-1.0081490785897849E-2</c:v>
                </c:pt>
                <c:pt idx="26">
                  <c:v>-1.0084381677398896E-2</c:v>
                </c:pt>
                <c:pt idx="27">
                  <c:v>-1.1067284787755276E-2</c:v>
                </c:pt>
                <c:pt idx="28">
                  <c:v>-1.1188702230799298E-2</c:v>
                </c:pt>
                <c:pt idx="29">
                  <c:v>-1.1937443129570777E-2</c:v>
                </c:pt>
                <c:pt idx="30">
                  <c:v>-1.3406016012103249E-2</c:v>
                </c:pt>
                <c:pt idx="31">
                  <c:v>-1.4186556717386256E-2</c:v>
                </c:pt>
                <c:pt idx="32">
                  <c:v>-1.4487209433495267E-2</c:v>
                </c:pt>
                <c:pt idx="33">
                  <c:v>-1.5363149558312864E-2</c:v>
                </c:pt>
                <c:pt idx="34">
                  <c:v>-2.4894418837268693E-2</c:v>
                </c:pt>
                <c:pt idx="35">
                  <c:v>-2.4949345775788612E-2</c:v>
                </c:pt>
                <c:pt idx="36">
                  <c:v>-2.5900449079633459E-2</c:v>
                </c:pt>
                <c:pt idx="37">
                  <c:v>-2.601319384817434E-2</c:v>
                </c:pt>
                <c:pt idx="38">
                  <c:v>-6.5880033093379198E-2</c:v>
                </c:pt>
                <c:pt idx="39">
                  <c:v>-6.6848481746230329E-2</c:v>
                </c:pt>
                <c:pt idx="40">
                  <c:v>-6.7056625934305794E-2</c:v>
                </c:pt>
                <c:pt idx="41">
                  <c:v>-6.7073971283312092E-2</c:v>
                </c:pt>
                <c:pt idx="42">
                  <c:v>-6.80106201296517E-2</c:v>
                </c:pt>
                <c:pt idx="43">
                  <c:v>-6.8068437959672656E-2</c:v>
                </c:pt>
                <c:pt idx="44">
                  <c:v>-6.9054231961530085E-2</c:v>
                </c:pt>
                <c:pt idx="45">
                  <c:v>-6.9166976730070967E-2</c:v>
                </c:pt>
                <c:pt idx="46">
                  <c:v>-6.9210340102586684E-2</c:v>
                </c:pt>
                <c:pt idx="47">
                  <c:v>-7.0054480420892754E-2</c:v>
                </c:pt>
                <c:pt idx="48">
                  <c:v>-7.1115437601777437E-2</c:v>
                </c:pt>
                <c:pt idx="49">
                  <c:v>-7.1233964153320409E-2</c:v>
                </c:pt>
                <c:pt idx="50">
                  <c:v>-7.1329363572855006E-2</c:v>
                </c:pt>
                <c:pt idx="51">
                  <c:v>-7.3228679289043655E-2</c:v>
                </c:pt>
                <c:pt idx="52">
                  <c:v>-7.3498977644391658E-2</c:v>
                </c:pt>
                <c:pt idx="53">
                  <c:v>-7.4379254106460818E-2</c:v>
                </c:pt>
                <c:pt idx="54">
                  <c:v>-7.4509344224007984E-2</c:v>
                </c:pt>
                <c:pt idx="55">
                  <c:v>-7.4541144030519521E-2</c:v>
                </c:pt>
                <c:pt idx="56">
                  <c:v>-7.5443102178846547E-2</c:v>
                </c:pt>
                <c:pt idx="57">
                  <c:v>-7.658211343025953E-2</c:v>
                </c:pt>
                <c:pt idx="58">
                  <c:v>-7.6767130486326621E-2</c:v>
                </c:pt>
                <c:pt idx="59">
                  <c:v>-7.6775803160829756E-2</c:v>
                </c:pt>
                <c:pt idx="60">
                  <c:v>-7.6793148509836054E-2</c:v>
                </c:pt>
                <c:pt idx="61">
                  <c:v>-7.6796039401337099E-2</c:v>
                </c:pt>
                <c:pt idx="62">
                  <c:v>-7.6807602967341293E-2</c:v>
                </c:pt>
                <c:pt idx="63">
                  <c:v>-7.6816275641844428E-2</c:v>
                </c:pt>
                <c:pt idx="64">
                  <c:v>-7.9689821793886326E-2</c:v>
                </c:pt>
                <c:pt idx="65">
                  <c:v>-8.06004526167165E-2</c:v>
                </c:pt>
                <c:pt idx="66">
                  <c:v>-8.0977713957603281E-2</c:v>
                </c:pt>
                <c:pt idx="67">
                  <c:v>-8.1823299721659873E-2</c:v>
                </c:pt>
                <c:pt idx="68">
                  <c:v>-8.5121806924355836E-2</c:v>
                </c:pt>
                <c:pt idx="69">
                  <c:v>-8.7272630201135681E-2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9B-48CE-9024-8680E54F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696216"/>
        <c:axId val="1"/>
      </c:scatterChart>
      <c:valAx>
        <c:axId val="87469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69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Ser - O-C Diagr.</a:t>
            </a:r>
          </a:p>
        </c:rich>
      </c:tx>
      <c:layout>
        <c:manualLayout>
          <c:xMode val="edge"/>
          <c:yMode val="edge"/>
          <c:x val="0.346391752577319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723926380368099"/>
          <c:w val="0.7505154639175257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-6.5717600002244581E-2</c:v>
                </c:pt>
                <c:pt idx="1">
                  <c:v>1.3217999985499773E-3</c:v>
                </c:pt>
                <c:pt idx="2">
                  <c:v>1.1199999789823778E-4</c:v>
                </c:pt>
                <c:pt idx="3">
                  <c:v>5.5283999972743914E-3</c:v>
                </c:pt>
                <c:pt idx="4">
                  <c:v>3.027399998245528E-3</c:v>
                </c:pt>
                <c:pt idx="5">
                  <c:v>-5.2412000004551373E-3</c:v>
                </c:pt>
                <c:pt idx="6">
                  <c:v>1.1467000000266125E-2</c:v>
                </c:pt>
                <c:pt idx="7">
                  <c:v>-4.0824800002155825E-2</c:v>
                </c:pt>
                <c:pt idx="8">
                  <c:v>7.5489999981073197E-3</c:v>
                </c:pt>
                <c:pt idx="9">
                  <c:v>-4.5406000026559923E-3</c:v>
                </c:pt>
                <c:pt idx="10">
                  <c:v>-2.521800000249641E-2</c:v>
                </c:pt>
                <c:pt idx="11">
                  <c:v>1.2377999955788255E-3</c:v>
                </c:pt>
                <c:pt idx="12">
                  <c:v>-3.3151000003272202E-2</c:v>
                </c:pt>
                <c:pt idx="13">
                  <c:v>-5.0690000025497284E-3</c:v>
                </c:pt>
                <c:pt idx="14">
                  <c:v>-1.5004200002294965E-2</c:v>
                </c:pt>
                <c:pt idx="15">
                  <c:v>0</c:v>
                </c:pt>
                <c:pt idx="16">
                  <c:v>9.9999999983992893E-3</c:v>
                </c:pt>
                <c:pt idx="17">
                  <c:v>-3.9606000027561095E-3</c:v>
                </c:pt>
                <c:pt idx="18">
                  <c:v>-1.1252399999648333E-2</c:v>
                </c:pt>
                <c:pt idx="19">
                  <c:v>1.4164000000164378E-2</c:v>
                </c:pt>
                <c:pt idx="20">
                  <c:v>-1.0419600002933294E-2</c:v>
                </c:pt>
                <c:pt idx="21">
                  <c:v>-1.6720000021450687E-3</c:v>
                </c:pt>
                <c:pt idx="22">
                  <c:v>1.645259999713744E-2</c:v>
                </c:pt>
                <c:pt idx="23">
                  <c:v>-1.5422800002852455E-2</c:v>
                </c:pt>
                <c:pt idx="24">
                  <c:v>-1.9173600001522573E-2</c:v>
                </c:pt>
                <c:pt idx="25">
                  <c:v>-1.6465400000015507E-2</c:v>
                </c:pt>
                <c:pt idx="26">
                  <c:v>6.2427999982901383E-3</c:v>
                </c:pt>
                <c:pt idx="27">
                  <c:v>1.1030800000298768E-2</c:v>
                </c:pt>
                <c:pt idx="28">
                  <c:v>-1.1224800004129065E-2</c:v>
                </c:pt>
                <c:pt idx="29">
                  <c:v>-1.8801000001985813E-2</c:v>
                </c:pt>
                <c:pt idx="30">
                  <c:v>4.9646000006760005E-3</c:v>
                </c:pt>
                <c:pt idx="31">
                  <c:v>-1.0821399999258574E-2</c:v>
                </c:pt>
                <c:pt idx="32">
                  <c:v>1.7831400000432041E-2</c:v>
                </c:pt>
                <c:pt idx="33">
                  <c:v>4.4159999961266294E-3</c:v>
                </c:pt>
                <c:pt idx="34">
                  <c:v>-1.3648600004671607E-2</c:v>
                </c:pt>
                <c:pt idx="35">
                  <c:v>-8.1927999999606982E-3</c:v>
                </c:pt>
                <c:pt idx="36">
                  <c:v>-3.6195000000589062E-2</c:v>
                </c:pt>
                <c:pt idx="37">
                  <c:v>-3.5575200003222562E-2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95-4AD0-AF91-9586D65D40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38">
                  <c:v>-7.4143100006040186E-2</c:v>
                </c:pt>
                <c:pt idx="58">
                  <c:v>-7.8061900218017399E-2</c:v>
                </c:pt>
                <c:pt idx="59">
                  <c:v>-7.7937300127814524E-2</c:v>
                </c:pt>
                <c:pt idx="60">
                  <c:v>-7.7688099954684731E-2</c:v>
                </c:pt>
                <c:pt idx="61">
                  <c:v>-7.3979899796540849E-2</c:v>
                </c:pt>
                <c:pt idx="62">
                  <c:v>-7.9147100084810518E-2</c:v>
                </c:pt>
                <c:pt idx="63">
                  <c:v>-7.8022499837970827E-2</c:v>
                </c:pt>
                <c:pt idx="64">
                  <c:v>-7.8071699994325172E-2</c:v>
                </c:pt>
                <c:pt idx="65">
                  <c:v>-7.6988699998764787E-2</c:v>
                </c:pt>
                <c:pt idx="67">
                  <c:v>-7.8420100006042048E-2</c:v>
                </c:pt>
                <c:pt idx="68">
                  <c:v>-7.7363900003547315E-2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95-4AD0-AF91-9586D65D40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54">
                  <c:v>-7.6366100001905579E-2</c:v>
                </c:pt>
                <c:pt idx="55">
                  <c:v>-7.4475900000834372E-2</c:v>
                </c:pt>
                <c:pt idx="56">
                  <c:v>-8.0517499998677522E-2</c:v>
                </c:pt>
                <c:pt idx="57">
                  <c:v>-7.5686700001824647E-2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95-4AD0-AF91-9586D65D40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9">
                  <c:v>-6.6496099992946256E-2</c:v>
                </c:pt>
                <c:pt idx="40">
                  <c:v>-7.1005700003297534E-2</c:v>
                </c:pt>
                <c:pt idx="41">
                  <c:v>-7.1256499999435619E-2</c:v>
                </c:pt>
                <c:pt idx="42">
                  <c:v>-7.8199700001277961E-2</c:v>
                </c:pt>
                <c:pt idx="43">
                  <c:v>-7.1435700003348757E-2</c:v>
                </c:pt>
                <c:pt idx="44">
                  <c:v>-7.1439499995904043E-2</c:v>
                </c:pt>
                <c:pt idx="45">
                  <c:v>-7.29496999992989E-2</c:v>
                </c:pt>
                <c:pt idx="46">
                  <c:v>-7.1196700002474245E-2</c:v>
                </c:pt>
                <c:pt idx="47">
                  <c:v>-7.160229999863077E-2</c:v>
                </c:pt>
                <c:pt idx="48">
                  <c:v>-7.3662899994815234E-2</c:v>
                </c:pt>
                <c:pt idx="49">
                  <c:v>-7.8556699998443946E-2</c:v>
                </c:pt>
                <c:pt idx="50">
                  <c:v>-6.6186100004415493E-2</c:v>
                </c:pt>
                <c:pt idx="51">
                  <c:v>-7.8898700005083811E-2</c:v>
                </c:pt>
                <c:pt idx="52">
                  <c:v>-7.408199999917997E-2</c:v>
                </c:pt>
                <c:pt idx="53">
                  <c:v>-8.2035100000211969E-2</c:v>
                </c:pt>
                <c:pt idx="66">
                  <c:v>-7.8268600002047606E-2</c:v>
                </c:pt>
                <c:pt idx="69">
                  <c:v>-7.9963099997257814E-2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95-4AD0-AF91-9586D65D40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95-4AD0-AF91-9586D65D40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95-4AD0-AF91-9586D65D40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15">
                    <c:v>0</c:v>
                  </c:pt>
                  <c:pt idx="38">
                    <c:v>0.01</c:v>
                  </c:pt>
                  <c:pt idx="39">
                    <c:v>2.0999999999999999E-3</c:v>
                  </c:pt>
                  <c:pt idx="40">
                    <c:v>5.4000000000000003E-3</c:v>
                  </c:pt>
                  <c:pt idx="41">
                    <c:v>2E-3</c:v>
                  </c:pt>
                  <c:pt idx="43">
                    <c:v>3.0000000000000001E-3</c:v>
                  </c:pt>
                  <c:pt idx="45">
                    <c:v>2.3999999999999998E-3</c:v>
                  </c:pt>
                  <c:pt idx="48">
                    <c:v>2.3999999999999998E-3</c:v>
                  </c:pt>
                  <c:pt idx="51">
                    <c:v>7.0000000000000001E-3</c:v>
                  </c:pt>
                  <c:pt idx="52">
                    <c:v>4.0000000000000002E-4</c:v>
                  </c:pt>
                  <c:pt idx="53">
                    <c:v>8.0000000000000002E-3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1.8E-3</c:v>
                  </c:pt>
                  <c:pt idx="57">
                    <c:v>4.0000000000000002E-4</c:v>
                  </c:pt>
                  <c:pt idx="58">
                    <c:v>7.0000000000000001E-3</c:v>
                  </c:pt>
                  <c:pt idx="59">
                    <c:v>8.0000000000000002E-3</c:v>
                  </c:pt>
                  <c:pt idx="60">
                    <c:v>1.4999999999999999E-2</c:v>
                  </c:pt>
                  <c:pt idx="61">
                    <c:v>0.02</c:v>
                  </c:pt>
                  <c:pt idx="62">
                    <c:v>8.9999999999999993E-3</c:v>
                  </c:pt>
                  <c:pt idx="63">
                    <c:v>0.01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2.9999999999999997E-4</c:v>
                  </c:pt>
                  <c:pt idx="67">
                    <c:v>0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95-4AD0-AF91-9586D65D40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-5868</c:v>
                </c:pt>
                <c:pt idx="1">
                  <c:v>-5851</c:v>
                </c:pt>
                <c:pt idx="2">
                  <c:v>-5840</c:v>
                </c:pt>
                <c:pt idx="3">
                  <c:v>-5838</c:v>
                </c:pt>
                <c:pt idx="4">
                  <c:v>-3643</c:v>
                </c:pt>
                <c:pt idx="5">
                  <c:v>-2566</c:v>
                </c:pt>
                <c:pt idx="6">
                  <c:v>-2565</c:v>
                </c:pt>
                <c:pt idx="7">
                  <c:v>-2564</c:v>
                </c:pt>
                <c:pt idx="8">
                  <c:v>-2555</c:v>
                </c:pt>
                <c:pt idx="9">
                  <c:v>-1883</c:v>
                </c:pt>
                <c:pt idx="10">
                  <c:v>-1490</c:v>
                </c:pt>
                <c:pt idx="11">
                  <c:v>-1471</c:v>
                </c:pt>
                <c:pt idx="12">
                  <c:v>-1055</c:v>
                </c:pt>
                <c:pt idx="13">
                  <c:v>-1045</c:v>
                </c:pt>
                <c:pt idx="14">
                  <c:v>-281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40</c:v>
                </c:pt>
                <c:pt idx="22">
                  <c:v>43</c:v>
                </c:pt>
                <c:pt idx="23">
                  <c:v>46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394</c:v>
                </c:pt>
                <c:pt idx="28">
                  <c:v>436</c:v>
                </c:pt>
                <c:pt idx="29">
                  <c:v>695</c:v>
                </c:pt>
                <c:pt idx="30">
                  <c:v>1203</c:v>
                </c:pt>
                <c:pt idx="31">
                  <c:v>1473</c:v>
                </c:pt>
                <c:pt idx="32">
                  <c:v>1577</c:v>
                </c:pt>
                <c:pt idx="33">
                  <c:v>1880</c:v>
                </c:pt>
                <c:pt idx="34">
                  <c:v>5177</c:v>
                </c:pt>
                <c:pt idx="35">
                  <c:v>5196</c:v>
                </c:pt>
                <c:pt idx="36">
                  <c:v>5525</c:v>
                </c:pt>
                <c:pt idx="37">
                  <c:v>5564</c:v>
                </c:pt>
                <c:pt idx="38">
                  <c:v>19354.5</c:v>
                </c:pt>
                <c:pt idx="39">
                  <c:v>19689.5</c:v>
                </c:pt>
                <c:pt idx="40">
                  <c:v>19761.5</c:v>
                </c:pt>
                <c:pt idx="41">
                  <c:v>19767.5</c:v>
                </c:pt>
                <c:pt idx="42">
                  <c:v>20091.5</c:v>
                </c:pt>
                <c:pt idx="43">
                  <c:v>20111.5</c:v>
                </c:pt>
                <c:pt idx="44">
                  <c:v>20452.5</c:v>
                </c:pt>
                <c:pt idx="45">
                  <c:v>20491.5</c:v>
                </c:pt>
                <c:pt idx="46">
                  <c:v>20506.5</c:v>
                </c:pt>
                <c:pt idx="47">
                  <c:v>20798.5</c:v>
                </c:pt>
                <c:pt idx="48">
                  <c:v>21165.5</c:v>
                </c:pt>
                <c:pt idx="49">
                  <c:v>21206.5</c:v>
                </c:pt>
                <c:pt idx="50">
                  <c:v>21239.5</c:v>
                </c:pt>
                <c:pt idx="51">
                  <c:v>21896.5</c:v>
                </c:pt>
                <c:pt idx="52">
                  <c:v>21990</c:v>
                </c:pt>
                <c:pt idx="53">
                  <c:v>22294.5</c:v>
                </c:pt>
                <c:pt idx="54">
                  <c:v>22339.5</c:v>
                </c:pt>
                <c:pt idx="55">
                  <c:v>22350.5</c:v>
                </c:pt>
                <c:pt idx="56">
                  <c:v>22662.5</c:v>
                </c:pt>
                <c:pt idx="57">
                  <c:v>23056.5</c:v>
                </c:pt>
                <c:pt idx="58">
                  <c:v>23120.5</c:v>
                </c:pt>
                <c:pt idx="59">
                  <c:v>23123.5</c:v>
                </c:pt>
                <c:pt idx="60">
                  <c:v>23129.5</c:v>
                </c:pt>
                <c:pt idx="61">
                  <c:v>23130.5</c:v>
                </c:pt>
                <c:pt idx="62">
                  <c:v>23134.5</c:v>
                </c:pt>
                <c:pt idx="63">
                  <c:v>23137.5</c:v>
                </c:pt>
                <c:pt idx="64">
                  <c:v>24131.5</c:v>
                </c:pt>
                <c:pt idx="65">
                  <c:v>24446.5</c:v>
                </c:pt>
                <c:pt idx="66">
                  <c:v>24577</c:v>
                </c:pt>
                <c:pt idx="67">
                  <c:v>24869.5</c:v>
                </c:pt>
                <c:pt idx="68">
                  <c:v>26010.5</c:v>
                </c:pt>
                <c:pt idx="69">
                  <c:v>26754.5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7.0354777918083949E-3</c:v>
                </c:pt>
                <c:pt idx="1">
                  <c:v>6.9863326362905737E-3</c:v>
                </c:pt>
                <c:pt idx="2">
                  <c:v>6.9545328297790469E-3</c:v>
                </c:pt>
                <c:pt idx="3">
                  <c:v>6.9487510467769499E-3</c:v>
                </c:pt>
                <c:pt idx="4">
                  <c:v>6.032442019762059E-4</c:v>
                </c:pt>
                <c:pt idx="5">
                  <c:v>-2.5102459446526785E-3</c:v>
                </c:pt>
                <c:pt idx="6">
                  <c:v>-2.513136836153727E-3</c:v>
                </c:pt>
                <c:pt idx="7">
                  <c:v>-2.5160277276547746E-3</c:v>
                </c:pt>
                <c:pt idx="8">
                  <c:v>-2.5420457511642087E-3</c:v>
                </c:pt>
                <c:pt idx="9">
                  <c:v>-4.4847248398685816E-3</c:v>
                </c:pt>
                <c:pt idx="10">
                  <c:v>-5.6208451997805144E-3</c:v>
                </c:pt>
                <c:pt idx="11">
                  <c:v>-5.6757721383004301E-3</c:v>
                </c:pt>
                <c:pt idx="12">
                  <c:v>-6.8783830027364708E-3</c:v>
                </c:pt>
                <c:pt idx="13">
                  <c:v>-6.9072919177469525E-3</c:v>
                </c:pt>
                <c:pt idx="14">
                  <c:v>-9.1159330245477576E-3</c:v>
                </c:pt>
                <c:pt idx="15">
                  <c:v>-9.9282735363422948E-3</c:v>
                </c:pt>
                <c:pt idx="16">
                  <c:v>-9.9282735363422948E-3</c:v>
                </c:pt>
                <c:pt idx="17">
                  <c:v>-9.9774186918601144E-3</c:v>
                </c:pt>
                <c:pt idx="18">
                  <c:v>-9.9803095833611612E-3</c:v>
                </c:pt>
                <c:pt idx="19">
                  <c:v>-9.9860913663632582E-3</c:v>
                </c:pt>
                <c:pt idx="20">
                  <c:v>-9.9918731493653552E-3</c:v>
                </c:pt>
                <c:pt idx="21">
                  <c:v>-1.0043909196384222E-2</c:v>
                </c:pt>
                <c:pt idx="22">
                  <c:v>-1.0052581870887367E-2</c:v>
                </c:pt>
                <c:pt idx="23">
                  <c:v>-1.0061254545390511E-2</c:v>
                </c:pt>
                <c:pt idx="24">
                  <c:v>-1.00785998943968E-2</c:v>
                </c:pt>
                <c:pt idx="25">
                  <c:v>-1.0081490785897849E-2</c:v>
                </c:pt>
                <c:pt idx="26">
                  <c:v>-1.0084381677398896E-2</c:v>
                </c:pt>
                <c:pt idx="27">
                  <c:v>-1.1067284787755276E-2</c:v>
                </c:pt>
                <c:pt idx="28">
                  <c:v>-1.1188702230799298E-2</c:v>
                </c:pt>
                <c:pt idx="29">
                  <c:v>-1.1937443129570777E-2</c:v>
                </c:pt>
                <c:pt idx="30">
                  <c:v>-1.3406016012103249E-2</c:v>
                </c:pt>
                <c:pt idx="31">
                  <c:v>-1.4186556717386256E-2</c:v>
                </c:pt>
                <c:pt idx="32">
                  <c:v>-1.4487209433495267E-2</c:v>
                </c:pt>
                <c:pt idx="33">
                  <c:v>-1.5363149558312864E-2</c:v>
                </c:pt>
                <c:pt idx="34">
                  <c:v>-2.4894418837268693E-2</c:v>
                </c:pt>
                <c:pt idx="35">
                  <c:v>-2.4949345775788612E-2</c:v>
                </c:pt>
                <c:pt idx="36">
                  <c:v>-2.5900449079633459E-2</c:v>
                </c:pt>
                <c:pt idx="37">
                  <c:v>-2.601319384817434E-2</c:v>
                </c:pt>
                <c:pt idx="38">
                  <c:v>-6.5880033093379198E-2</c:v>
                </c:pt>
                <c:pt idx="39">
                  <c:v>-6.6848481746230329E-2</c:v>
                </c:pt>
                <c:pt idx="40">
                  <c:v>-6.7056625934305794E-2</c:v>
                </c:pt>
                <c:pt idx="41">
                  <c:v>-6.7073971283312092E-2</c:v>
                </c:pt>
                <c:pt idx="42">
                  <c:v>-6.80106201296517E-2</c:v>
                </c:pt>
                <c:pt idx="43">
                  <c:v>-6.8068437959672656E-2</c:v>
                </c:pt>
                <c:pt idx="44">
                  <c:v>-6.9054231961530085E-2</c:v>
                </c:pt>
                <c:pt idx="45">
                  <c:v>-6.9166976730070967E-2</c:v>
                </c:pt>
                <c:pt idx="46">
                  <c:v>-6.9210340102586684E-2</c:v>
                </c:pt>
                <c:pt idx="47">
                  <c:v>-7.0054480420892754E-2</c:v>
                </c:pt>
                <c:pt idx="48">
                  <c:v>-7.1115437601777437E-2</c:v>
                </c:pt>
                <c:pt idx="49">
                  <c:v>-7.1233964153320409E-2</c:v>
                </c:pt>
                <c:pt idx="50">
                  <c:v>-7.1329363572855006E-2</c:v>
                </c:pt>
                <c:pt idx="51">
                  <c:v>-7.3228679289043655E-2</c:v>
                </c:pt>
                <c:pt idx="52">
                  <c:v>-7.3498977644391658E-2</c:v>
                </c:pt>
                <c:pt idx="53">
                  <c:v>-7.4379254106460818E-2</c:v>
                </c:pt>
                <c:pt idx="54">
                  <c:v>-7.4509344224007984E-2</c:v>
                </c:pt>
                <c:pt idx="55">
                  <c:v>-7.4541144030519521E-2</c:v>
                </c:pt>
                <c:pt idx="56">
                  <c:v>-7.5443102178846547E-2</c:v>
                </c:pt>
                <c:pt idx="57">
                  <c:v>-7.658211343025953E-2</c:v>
                </c:pt>
                <c:pt idx="58">
                  <c:v>-7.6767130486326621E-2</c:v>
                </c:pt>
                <c:pt idx="59">
                  <c:v>-7.6775803160829756E-2</c:v>
                </c:pt>
                <c:pt idx="60">
                  <c:v>-7.6793148509836054E-2</c:v>
                </c:pt>
                <c:pt idx="61">
                  <c:v>-7.6796039401337099E-2</c:v>
                </c:pt>
                <c:pt idx="62">
                  <c:v>-7.6807602967341293E-2</c:v>
                </c:pt>
                <c:pt idx="63">
                  <c:v>-7.6816275641844428E-2</c:v>
                </c:pt>
                <c:pt idx="64">
                  <c:v>-7.9689821793886326E-2</c:v>
                </c:pt>
                <c:pt idx="65">
                  <c:v>-8.06004526167165E-2</c:v>
                </c:pt>
                <c:pt idx="66">
                  <c:v>-8.0977713957603281E-2</c:v>
                </c:pt>
                <c:pt idx="67">
                  <c:v>-8.1823299721659873E-2</c:v>
                </c:pt>
                <c:pt idx="68">
                  <c:v>-8.5121806924355836E-2</c:v>
                </c:pt>
                <c:pt idx="69">
                  <c:v>-8.7272630201135681E-2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95-4AD0-AF91-9586D65D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49352"/>
        <c:axId val="1"/>
      </c:scatterChart>
      <c:valAx>
        <c:axId val="933749352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749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1123949</xdr:colOff>
      <xdr:row>0</xdr:row>
      <xdr:rowOff>0</xdr:rowOff>
    </xdr:from>
    <xdr:to>
      <xdr:col>17</xdr:col>
      <xdr:colOff>447674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05BE04F-C811-2054-2AFB-A553B3F78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19049</xdr:rowOff>
    </xdr:from>
    <xdr:to>
      <xdr:col>26</xdr:col>
      <xdr:colOff>657225</xdr:colOff>
      <xdr:row>18</xdr:row>
      <xdr:rowOff>57149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FD7B3DA-7939-CCFB-64B9-A720AC001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53" TargetMode="External"/><Relationship Id="rId13" Type="http://schemas.openxmlformats.org/officeDocument/2006/relationships/hyperlink" Target="http://var.astro.cz/oejv/issues/oejv0073.pdf" TargetMode="External"/><Relationship Id="rId18" Type="http://schemas.openxmlformats.org/officeDocument/2006/relationships/hyperlink" Target="http://var.astro.cz/oejv/issues/oejv0073.pdf" TargetMode="External"/><Relationship Id="rId3" Type="http://schemas.openxmlformats.org/officeDocument/2006/relationships/hyperlink" Target="http://www.konkoly.hu/cgi-bin/IBVS?4888" TargetMode="External"/><Relationship Id="rId21" Type="http://schemas.openxmlformats.org/officeDocument/2006/relationships/hyperlink" Target="http://var.astro.cz/oejv/issues/oejv0155.pdf" TargetMode="External"/><Relationship Id="rId7" Type="http://schemas.openxmlformats.org/officeDocument/2006/relationships/hyperlink" Target="http://www.konkoly.hu/cgi-bin/IBVS?5602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var.astro.cz/oejv/issues/oejv0073.pdf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var.astro.cz/oejv/issues/oejv0073.pdf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073.pdf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var.astro.cz/oejv/issues/oejv0142.pdf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var.astro.cz/oejv/issues/oejv0073.pdf" TargetMode="External"/><Relationship Id="rId22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4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43" customFormat="1" ht="20.25" customHeight="1" x14ac:dyDescent="0.2">
      <c r="A1" s="42" t="s">
        <v>40</v>
      </c>
    </row>
    <row r="2" spans="1:6" s="43" customFormat="1" ht="12.95" customHeight="1" x14ac:dyDescent="0.2">
      <c r="A2" s="43" t="s">
        <v>26</v>
      </c>
      <c r="B2" s="44" t="s">
        <v>39</v>
      </c>
    </row>
    <row r="3" spans="1:6" s="43" customFormat="1" ht="12.95" customHeight="1" x14ac:dyDescent="0.2"/>
    <row r="4" spans="1:6" s="43" customFormat="1" ht="12.95" customHeight="1" thickTop="1" thickBot="1" x14ac:dyDescent="0.25">
      <c r="A4" s="45" t="s">
        <v>2</v>
      </c>
      <c r="C4" s="46">
        <v>31213.49</v>
      </c>
      <c r="D4" s="47">
        <v>0.99729179999999995</v>
      </c>
    </row>
    <row r="5" spans="1:6" s="43" customFormat="1" ht="12.95" customHeight="1" thickTop="1" x14ac:dyDescent="0.2">
      <c r="A5" s="48" t="s">
        <v>43</v>
      </c>
      <c r="C5" s="49">
        <v>-9.5</v>
      </c>
      <c r="D5" s="43" t="s">
        <v>44</v>
      </c>
    </row>
    <row r="6" spans="1:6" s="43" customFormat="1" ht="12.95" customHeight="1" x14ac:dyDescent="0.2">
      <c r="A6" s="45" t="s">
        <v>3</v>
      </c>
    </row>
    <row r="7" spans="1:6" s="43" customFormat="1" ht="12.95" customHeight="1" x14ac:dyDescent="0.2">
      <c r="A7" s="43" t="s">
        <v>4</v>
      </c>
      <c r="C7" s="43">
        <f>+C4</f>
        <v>31213.49</v>
      </c>
    </row>
    <row r="8" spans="1:6" s="43" customFormat="1" ht="12.95" customHeight="1" x14ac:dyDescent="0.2">
      <c r="A8" s="43" t="s">
        <v>5</v>
      </c>
      <c r="C8" s="43">
        <f>+D4</f>
        <v>0.99729179999999995</v>
      </c>
    </row>
    <row r="9" spans="1:6" s="43" customFormat="1" ht="12.95" customHeight="1" x14ac:dyDescent="0.2">
      <c r="A9" s="50" t="s">
        <v>48</v>
      </c>
      <c r="B9" s="51">
        <v>21</v>
      </c>
      <c r="C9" s="52" t="str">
        <f>"F"&amp;B9</f>
        <v>F21</v>
      </c>
      <c r="D9" s="53" t="str">
        <f>"G"&amp;B9</f>
        <v>G21</v>
      </c>
    </row>
    <row r="10" spans="1:6" s="43" customFormat="1" ht="12.95" customHeight="1" thickBot="1" x14ac:dyDescent="0.25">
      <c r="C10" s="54" t="s">
        <v>22</v>
      </c>
      <c r="D10" s="54" t="s">
        <v>23</v>
      </c>
    </row>
    <row r="11" spans="1:6" s="43" customFormat="1" ht="12.95" customHeight="1" x14ac:dyDescent="0.2">
      <c r="A11" s="43" t="s">
        <v>18</v>
      </c>
      <c r="C11" s="53">
        <f ca="1">INTERCEPT(INDIRECT($D$9):G986,INDIRECT($C$9):F986)</f>
        <v>-9.9282735363422948E-3</v>
      </c>
      <c r="D11" s="55"/>
    </row>
    <row r="12" spans="1:6" s="43" customFormat="1" ht="12.95" customHeight="1" x14ac:dyDescent="0.2">
      <c r="A12" s="43" t="s">
        <v>19</v>
      </c>
      <c r="C12" s="53">
        <f ca="1">SLOPE(INDIRECT($D$9):G986,INDIRECT($C$9):F986)</f>
        <v>-2.8908915010481747E-6</v>
      </c>
      <c r="D12" s="55"/>
    </row>
    <row r="13" spans="1:6" s="43" customFormat="1" ht="12.95" customHeight="1" x14ac:dyDescent="0.2">
      <c r="A13" s="43" t="s">
        <v>21</v>
      </c>
      <c r="C13" s="55" t="s">
        <v>16</v>
      </c>
    </row>
    <row r="14" spans="1:6" s="43" customFormat="1" ht="12.95" customHeight="1" x14ac:dyDescent="0.2"/>
    <row r="15" spans="1:6" s="43" customFormat="1" ht="12.95" customHeight="1" x14ac:dyDescent="0.2">
      <c r="A15" s="56" t="s">
        <v>20</v>
      </c>
      <c r="C15" s="57">
        <f ca="1">(C7+C11)+(C8+C12)*INT(MAX(F21:F3527))</f>
        <v>57894.947546015246</v>
      </c>
      <c r="E15" s="58" t="s">
        <v>52</v>
      </c>
      <c r="F15" s="49">
        <v>1</v>
      </c>
    </row>
    <row r="16" spans="1:6" s="43" customFormat="1" ht="12.95" customHeight="1" x14ac:dyDescent="0.2">
      <c r="A16" s="45" t="s">
        <v>6</v>
      </c>
      <c r="C16" s="59">
        <f ca="1">+C8+C12</f>
        <v>0.99728890910849888</v>
      </c>
      <c r="E16" s="58" t="s">
        <v>45</v>
      </c>
      <c r="F16" s="60">
        <f ca="1">NOW()+15018.5+$C$5/24</f>
        <v>60374.820544328701</v>
      </c>
    </row>
    <row r="17" spans="1:17" s="43" customFormat="1" ht="12.95" customHeight="1" thickBot="1" x14ac:dyDescent="0.25">
      <c r="A17" s="58" t="s">
        <v>37</v>
      </c>
      <c r="C17" s="43">
        <f>COUNT(C21:C2185)</f>
        <v>70</v>
      </c>
      <c r="E17" s="58" t="s">
        <v>53</v>
      </c>
      <c r="F17" s="60">
        <f ca="1">ROUND(2*(F16-$C$7)/$C$8,0)/2+F15</f>
        <v>29241.5</v>
      </c>
    </row>
    <row r="18" spans="1:17" s="43" customFormat="1" ht="12.95" customHeight="1" thickTop="1" thickBot="1" x14ac:dyDescent="0.25">
      <c r="A18" s="45" t="s">
        <v>7</v>
      </c>
      <c r="C18" s="46">
        <f ca="1">+C15</f>
        <v>57894.947546015246</v>
      </c>
      <c r="D18" s="47">
        <f ca="1">+C16</f>
        <v>0.99728890910849888</v>
      </c>
      <c r="E18" s="58" t="s">
        <v>46</v>
      </c>
      <c r="F18" s="53">
        <f ca="1">ROUND(2*(F16-$C$15)/$C$16,0)/2+F15</f>
        <v>2487.5</v>
      </c>
    </row>
    <row r="19" spans="1:17" s="43" customFormat="1" ht="12.95" customHeight="1" thickTop="1" x14ac:dyDescent="0.2">
      <c r="E19" s="58" t="s">
        <v>47</v>
      </c>
      <c r="F19" s="61">
        <f ca="1">+$C$15+$C$16*F18-15018.5-$C$5/24</f>
        <v>45357.599540755975</v>
      </c>
    </row>
    <row r="20" spans="1:17" s="43" customFormat="1" ht="12.95" customHeight="1" thickBot="1" x14ac:dyDescent="0.25">
      <c r="A20" s="54" t="s">
        <v>8</v>
      </c>
      <c r="B20" s="54" t="s">
        <v>9</v>
      </c>
      <c r="C20" s="54" t="s">
        <v>10</v>
      </c>
      <c r="D20" s="54" t="s">
        <v>15</v>
      </c>
      <c r="E20" s="54" t="s">
        <v>11</v>
      </c>
      <c r="F20" s="54" t="s">
        <v>12</v>
      </c>
      <c r="G20" s="54" t="s">
        <v>13</v>
      </c>
      <c r="H20" s="62" t="s">
        <v>68</v>
      </c>
      <c r="I20" s="62" t="s">
        <v>71</v>
      </c>
      <c r="J20" s="62" t="s">
        <v>65</v>
      </c>
      <c r="K20" s="62" t="s">
        <v>63</v>
      </c>
      <c r="L20" s="62" t="s">
        <v>27</v>
      </c>
      <c r="M20" s="62" t="s">
        <v>28</v>
      </c>
      <c r="N20" s="62" t="s">
        <v>29</v>
      </c>
      <c r="O20" s="62" t="s">
        <v>25</v>
      </c>
      <c r="P20" s="63" t="s">
        <v>24</v>
      </c>
      <c r="Q20" s="54" t="s">
        <v>17</v>
      </c>
    </row>
    <row r="21" spans="1:17" s="43" customFormat="1" ht="12.95" customHeight="1" x14ac:dyDescent="0.2">
      <c r="A21" s="64" t="s">
        <v>77</v>
      </c>
      <c r="B21" s="65" t="s">
        <v>56</v>
      </c>
      <c r="C21" s="66">
        <v>25361.315999999999</v>
      </c>
      <c r="D21" s="13"/>
      <c r="E21" s="43">
        <f t="shared" ref="E21:E52" si="0">+(C21-C$7)/C$8</f>
        <v>-5868.065896059712</v>
      </c>
      <c r="F21" s="43">
        <f t="shared" ref="F21:F52" si="1">ROUND(2*E21,0)/2</f>
        <v>-5868</v>
      </c>
      <c r="G21" s="43">
        <f t="shared" ref="G21:G52" si="2">+C21-(C$7+F21*C$8)</f>
        <v>-6.5717600002244581E-2</v>
      </c>
      <c r="H21" s="43">
        <f t="shared" ref="H21:H58" si="3">+G21</f>
        <v>-6.5717600002244581E-2</v>
      </c>
      <c r="O21" s="43">
        <f t="shared" ref="O21:O52" ca="1" si="4">+C$11+C$12*$F21</f>
        <v>7.0354777918083949E-3</v>
      </c>
      <c r="Q21" s="67">
        <f t="shared" ref="Q21:Q52" si="5">+C21-15018.5</f>
        <v>10342.815999999999</v>
      </c>
    </row>
    <row r="22" spans="1:17" s="43" customFormat="1" ht="12.95" customHeight="1" x14ac:dyDescent="0.2">
      <c r="A22" s="64" t="s">
        <v>77</v>
      </c>
      <c r="B22" s="65" t="s">
        <v>56</v>
      </c>
      <c r="C22" s="66">
        <v>25378.337</v>
      </c>
      <c r="D22" s="68"/>
      <c r="E22" s="43">
        <f t="shared" si="0"/>
        <v>-5850.9986746105824</v>
      </c>
      <c r="F22" s="43">
        <f t="shared" si="1"/>
        <v>-5851</v>
      </c>
      <c r="G22" s="43">
        <f t="shared" si="2"/>
        <v>1.3217999985499773E-3</v>
      </c>
      <c r="H22" s="43">
        <f t="shared" si="3"/>
        <v>1.3217999985499773E-3</v>
      </c>
      <c r="O22" s="43">
        <f t="shared" ca="1" si="4"/>
        <v>6.9863326362905737E-3</v>
      </c>
      <c r="Q22" s="67">
        <f t="shared" si="5"/>
        <v>10359.837</v>
      </c>
    </row>
    <row r="23" spans="1:17" s="43" customFormat="1" ht="12.95" customHeight="1" x14ac:dyDescent="0.2">
      <c r="A23" s="64" t="s">
        <v>77</v>
      </c>
      <c r="B23" s="65" t="s">
        <v>56</v>
      </c>
      <c r="C23" s="66">
        <v>25389.306</v>
      </c>
      <c r="D23" s="68"/>
      <c r="E23" s="43">
        <f t="shared" si="0"/>
        <v>-5839.9998876958589</v>
      </c>
      <c r="F23" s="43">
        <f t="shared" si="1"/>
        <v>-5840</v>
      </c>
      <c r="G23" s="43">
        <f t="shared" si="2"/>
        <v>1.1199999789823778E-4</v>
      </c>
      <c r="H23" s="43">
        <f t="shared" si="3"/>
        <v>1.1199999789823778E-4</v>
      </c>
      <c r="O23" s="43">
        <f t="shared" ca="1" si="4"/>
        <v>6.9545328297790469E-3</v>
      </c>
      <c r="Q23" s="67">
        <f t="shared" si="5"/>
        <v>10370.806</v>
      </c>
    </row>
    <row r="24" spans="1:17" s="43" customFormat="1" ht="12.95" customHeight="1" x14ac:dyDescent="0.2">
      <c r="A24" s="64" t="s">
        <v>77</v>
      </c>
      <c r="B24" s="65" t="s">
        <v>56</v>
      </c>
      <c r="C24" s="66">
        <v>25391.306</v>
      </c>
      <c r="D24" s="68"/>
      <c r="E24" s="43">
        <f t="shared" si="0"/>
        <v>-5837.9944565873311</v>
      </c>
      <c r="F24" s="43">
        <f t="shared" si="1"/>
        <v>-5838</v>
      </c>
      <c r="G24" s="43">
        <f t="shared" si="2"/>
        <v>5.5283999972743914E-3</v>
      </c>
      <c r="H24" s="43">
        <f t="shared" si="3"/>
        <v>5.5283999972743914E-3</v>
      </c>
      <c r="O24" s="43">
        <f t="shared" ca="1" si="4"/>
        <v>6.9487510467769499E-3</v>
      </c>
      <c r="Q24" s="67">
        <f t="shared" si="5"/>
        <v>10372.806</v>
      </c>
    </row>
    <row r="25" spans="1:17" s="43" customFormat="1" ht="12.95" customHeight="1" x14ac:dyDescent="0.2">
      <c r="A25" s="64" t="s">
        <v>77</v>
      </c>
      <c r="B25" s="65" t="s">
        <v>56</v>
      </c>
      <c r="C25" s="66">
        <v>27580.359</v>
      </c>
      <c r="D25" s="68"/>
      <c r="E25" s="43">
        <f t="shared" si="0"/>
        <v>-3642.9969643789323</v>
      </c>
      <c r="F25" s="43">
        <f t="shared" si="1"/>
        <v>-3643</v>
      </c>
      <c r="G25" s="43">
        <f t="shared" si="2"/>
        <v>3.027399998245528E-3</v>
      </c>
      <c r="H25" s="43">
        <f t="shared" si="3"/>
        <v>3.027399998245528E-3</v>
      </c>
      <c r="O25" s="43">
        <f t="shared" ca="1" si="4"/>
        <v>6.032442019762059E-4</v>
      </c>
      <c r="Q25" s="67">
        <f t="shared" si="5"/>
        <v>12561.859</v>
      </c>
    </row>
    <row r="26" spans="1:17" s="43" customFormat="1" ht="12.95" customHeight="1" x14ac:dyDescent="0.2">
      <c r="A26" s="64" t="s">
        <v>77</v>
      </c>
      <c r="B26" s="65" t="s">
        <v>56</v>
      </c>
      <c r="C26" s="66">
        <v>28654.434000000001</v>
      </c>
      <c r="D26" s="68"/>
      <c r="E26" s="43">
        <f t="shared" si="0"/>
        <v>-2566.0052554327635</v>
      </c>
      <c r="F26" s="43">
        <f t="shared" si="1"/>
        <v>-2566</v>
      </c>
      <c r="G26" s="43">
        <f t="shared" si="2"/>
        <v>-5.2412000004551373E-3</v>
      </c>
      <c r="H26" s="43">
        <f t="shared" si="3"/>
        <v>-5.2412000004551373E-3</v>
      </c>
      <c r="O26" s="43">
        <f t="shared" ca="1" si="4"/>
        <v>-2.5102459446526785E-3</v>
      </c>
      <c r="Q26" s="67">
        <f t="shared" si="5"/>
        <v>13635.934000000001</v>
      </c>
    </row>
    <row r="27" spans="1:17" s="43" customFormat="1" ht="12.95" customHeight="1" x14ac:dyDescent="0.2">
      <c r="A27" s="64" t="s">
        <v>77</v>
      </c>
      <c r="B27" s="65" t="s">
        <v>56</v>
      </c>
      <c r="C27" s="66">
        <v>28655.448</v>
      </c>
      <c r="D27" s="68"/>
      <c r="E27" s="43">
        <f t="shared" si="0"/>
        <v>-2564.9885018607406</v>
      </c>
      <c r="F27" s="43">
        <f t="shared" si="1"/>
        <v>-2565</v>
      </c>
      <c r="G27" s="43">
        <f t="shared" si="2"/>
        <v>1.1467000000266125E-2</v>
      </c>
      <c r="H27" s="43">
        <f t="shared" si="3"/>
        <v>1.1467000000266125E-2</v>
      </c>
      <c r="O27" s="43">
        <f t="shared" ca="1" si="4"/>
        <v>-2.513136836153727E-3</v>
      </c>
      <c r="Q27" s="67">
        <f t="shared" si="5"/>
        <v>13636.948</v>
      </c>
    </row>
    <row r="28" spans="1:17" s="43" customFormat="1" ht="12.95" customHeight="1" x14ac:dyDescent="0.2">
      <c r="A28" s="64" t="s">
        <v>77</v>
      </c>
      <c r="B28" s="65" t="s">
        <v>56</v>
      </c>
      <c r="C28" s="66">
        <v>28656.393</v>
      </c>
      <c r="D28" s="68"/>
      <c r="E28" s="43">
        <f t="shared" si="0"/>
        <v>-2564.0409356619616</v>
      </c>
      <c r="F28" s="43">
        <f t="shared" si="1"/>
        <v>-2564</v>
      </c>
      <c r="G28" s="43">
        <f t="shared" si="2"/>
        <v>-4.0824800002155825E-2</v>
      </c>
      <c r="H28" s="43">
        <f t="shared" si="3"/>
        <v>-4.0824800002155825E-2</v>
      </c>
      <c r="O28" s="43">
        <f t="shared" ca="1" si="4"/>
        <v>-2.5160277276547746E-3</v>
      </c>
      <c r="Q28" s="67">
        <f t="shared" si="5"/>
        <v>13637.893</v>
      </c>
    </row>
    <row r="29" spans="1:17" x14ac:dyDescent="0.2">
      <c r="A29" s="30" t="s">
        <v>77</v>
      </c>
      <c r="B29" s="32" t="s">
        <v>56</v>
      </c>
      <c r="C29" s="31">
        <v>28665.417000000001</v>
      </c>
      <c r="D29" s="5"/>
      <c r="E29">
        <f t="shared" si="0"/>
        <v>-2554.9924305002814</v>
      </c>
      <c r="F29">
        <f t="shared" si="1"/>
        <v>-2555</v>
      </c>
      <c r="G29">
        <f t="shared" si="2"/>
        <v>7.5489999981073197E-3</v>
      </c>
      <c r="H29">
        <f t="shared" si="3"/>
        <v>7.5489999981073197E-3</v>
      </c>
      <c r="O29">
        <f t="shared" ca="1" si="4"/>
        <v>-2.5420457511642087E-3</v>
      </c>
      <c r="Q29" s="1">
        <f t="shared" si="5"/>
        <v>13646.917000000001</v>
      </c>
    </row>
    <row r="30" spans="1:17" x14ac:dyDescent="0.2">
      <c r="A30" s="30" t="s">
        <v>77</v>
      </c>
      <c r="B30" s="32" t="s">
        <v>56</v>
      </c>
      <c r="C30" s="31">
        <v>29335.584999999999</v>
      </c>
      <c r="D30" s="5"/>
      <c r="E30">
        <f t="shared" si="0"/>
        <v>-1883.0045529302483</v>
      </c>
      <c r="F30">
        <f t="shared" si="1"/>
        <v>-1883</v>
      </c>
      <c r="G30">
        <f t="shared" si="2"/>
        <v>-4.5406000026559923E-3</v>
      </c>
      <c r="H30">
        <f t="shared" si="3"/>
        <v>-4.5406000026559923E-3</v>
      </c>
      <c r="O30">
        <f t="shared" ca="1" si="4"/>
        <v>-4.4847248398685816E-3</v>
      </c>
      <c r="Q30" s="1">
        <f t="shared" si="5"/>
        <v>14317.084999999999</v>
      </c>
    </row>
    <row r="31" spans="1:17" x14ac:dyDescent="0.2">
      <c r="A31" s="30" t="s">
        <v>77</v>
      </c>
      <c r="B31" s="32" t="s">
        <v>56</v>
      </c>
      <c r="C31" s="31">
        <v>29727.5</v>
      </c>
      <c r="D31" s="5"/>
      <c r="E31">
        <f t="shared" si="0"/>
        <v>-1490.0252864808492</v>
      </c>
      <c r="F31">
        <f t="shared" si="1"/>
        <v>-1490</v>
      </c>
      <c r="G31">
        <f t="shared" si="2"/>
        <v>-2.521800000249641E-2</v>
      </c>
      <c r="H31">
        <f t="shared" si="3"/>
        <v>-2.521800000249641E-2</v>
      </c>
      <c r="O31">
        <f t="shared" ca="1" si="4"/>
        <v>-5.6208451997805144E-3</v>
      </c>
      <c r="Q31" s="1">
        <f t="shared" si="5"/>
        <v>14709</v>
      </c>
    </row>
    <row r="32" spans="1:17" x14ac:dyDescent="0.2">
      <c r="A32" s="30" t="s">
        <v>77</v>
      </c>
      <c r="B32" s="32" t="s">
        <v>56</v>
      </c>
      <c r="C32" s="31">
        <v>29746.474999999999</v>
      </c>
      <c r="D32" s="5"/>
      <c r="E32">
        <f t="shared" si="0"/>
        <v>-1470.99875883869</v>
      </c>
      <c r="F32">
        <f t="shared" si="1"/>
        <v>-1471</v>
      </c>
      <c r="G32">
        <f t="shared" si="2"/>
        <v>1.2377999955788255E-3</v>
      </c>
      <c r="H32">
        <f t="shared" si="3"/>
        <v>1.2377999955788255E-3</v>
      </c>
      <c r="O32">
        <f t="shared" ca="1" si="4"/>
        <v>-5.6757721383004301E-3</v>
      </c>
      <c r="Q32" s="1">
        <f t="shared" si="5"/>
        <v>14727.974999999999</v>
      </c>
    </row>
    <row r="33" spans="1:17" x14ac:dyDescent="0.2">
      <c r="A33" s="30" t="s">
        <v>77</v>
      </c>
      <c r="B33" s="32" t="s">
        <v>56</v>
      </c>
      <c r="C33" s="31">
        <v>30161.313999999998</v>
      </c>
      <c r="D33" s="5"/>
      <c r="E33">
        <f t="shared" si="0"/>
        <v>-1055.0332410233425</v>
      </c>
      <c r="F33">
        <f t="shared" si="1"/>
        <v>-1055</v>
      </c>
      <c r="G33">
        <f t="shared" si="2"/>
        <v>-3.3151000003272202E-2</v>
      </c>
      <c r="H33">
        <f t="shared" si="3"/>
        <v>-3.3151000003272202E-2</v>
      </c>
      <c r="O33">
        <f t="shared" ca="1" si="4"/>
        <v>-6.8783830027364708E-3</v>
      </c>
      <c r="Q33" s="1">
        <f t="shared" si="5"/>
        <v>15142.813999999998</v>
      </c>
    </row>
    <row r="34" spans="1:17" x14ac:dyDescent="0.2">
      <c r="A34" s="30" t="s">
        <v>77</v>
      </c>
      <c r="B34" s="32" t="s">
        <v>56</v>
      </c>
      <c r="C34" s="31">
        <v>30171.314999999999</v>
      </c>
      <c r="D34" s="5"/>
      <c r="E34">
        <f t="shared" si="0"/>
        <v>-1045.0050827651476</v>
      </c>
      <c r="F34">
        <f t="shared" si="1"/>
        <v>-1045</v>
      </c>
      <c r="G34">
        <f t="shared" si="2"/>
        <v>-5.0690000025497284E-3</v>
      </c>
      <c r="H34">
        <f t="shared" si="3"/>
        <v>-5.0690000025497284E-3</v>
      </c>
      <c r="O34">
        <f t="shared" ca="1" si="4"/>
        <v>-6.9072919177469525E-3</v>
      </c>
      <c r="Q34" s="1">
        <f t="shared" si="5"/>
        <v>15152.814999999999</v>
      </c>
    </row>
    <row r="35" spans="1:17" x14ac:dyDescent="0.2">
      <c r="A35" s="30" t="s">
        <v>77</v>
      </c>
      <c r="B35" s="32" t="s">
        <v>56</v>
      </c>
      <c r="C35" s="31">
        <v>30933.236000000001</v>
      </c>
      <c r="D35" s="5"/>
      <c r="E35">
        <f t="shared" si="0"/>
        <v>-281.0150449447201</v>
      </c>
      <c r="F35">
        <f t="shared" si="1"/>
        <v>-281</v>
      </c>
      <c r="G35">
        <f t="shared" si="2"/>
        <v>-1.5004200002294965E-2</v>
      </c>
      <c r="H35">
        <f t="shared" si="3"/>
        <v>-1.5004200002294965E-2</v>
      </c>
      <c r="O35">
        <f t="shared" ca="1" si="4"/>
        <v>-9.1159330245477576E-3</v>
      </c>
      <c r="Q35" s="1">
        <f t="shared" si="5"/>
        <v>15914.736000000001</v>
      </c>
    </row>
    <row r="36" spans="1:17" x14ac:dyDescent="0.2">
      <c r="A36" t="s">
        <v>14</v>
      </c>
      <c r="C36" s="9">
        <v>31213.49</v>
      </c>
      <c r="D36" s="9" t="s">
        <v>16</v>
      </c>
      <c r="E36">
        <f t="shared" si="0"/>
        <v>0</v>
      </c>
      <c r="F36">
        <f t="shared" si="1"/>
        <v>0</v>
      </c>
      <c r="G36">
        <f t="shared" si="2"/>
        <v>0</v>
      </c>
      <c r="H36">
        <f t="shared" si="3"/>
        <v>0</v>
      </c>
      <c r="O36">
        <f t="shared" ca="1" si="4"/>
        <v>-9.9282735363422948E-3</v>
      </c>
      <c r="Q36" s="1">
        <f t="shared" si="5"/>
        <v>16194.990000000002</v>
      </c>
    </row>
    <row r="37" spans="1:17" x14ac:dyDescent="0.2">
      <c r="A37" s="30" t="s">
        <v>121</v>
      </c>
      <c r="B37" s="32" t="s">
        <v>56</v>
      </c>
      <c r="C37" s="31">
        <v>31213.5</v>
      </c>
      <c r="D37" s="5"/>
      <c r="E37">
        <f t="shared" si="0"/>
        <v>1.0027155541035523E-2</v>
      </c>
      <c r="F37">
        <f t="shared" si="1"/>
        <v>0</v>
      </c>
      <c r="G37">
        <f t="shared" si="2"/>
        <v>9.9999999983992893E-3</v>
      </c>
      <c r="H37">
        <f t="shared" si="3"/>
        <v>9.9999999983992893E-3</v>
      </c>
      <c r="O37">
        <f t="shared" ca="1" si="4"/>
        <v>-9.9282735363422948E-3</v>
      </c>
      <c r="Q37" s="1">
        <f t="shared" si="5"/>
        <v>16195</v>
      </c>
    </row>
    <row r="38" spans="1:17" x14ac:dyDescent="0.2">
      <c r="A38" s="30" t="s">
        <v>121</v>
      </c>
      <c r="B38" s="32" t="s">
        <v>56</v>
      </c>
      <c r="C38" s="31">
        <v>31230.44</v>
      </c>
      <c r="D38" s="5"/>
      <c r="E38">
        <f t="shared" si="0"/>
        <v>16.996028644772863</v>
      </c>
      <c r="F38">
        <f t="shared" si="1"/>
        <v>17</v>
      </c>
      <c r="G38">
        <f t="shared" si="2"/>
        <v>-3.9606000027561095E-3</v>
      </c>
      <c r="H38">
        <f t="shared" si="3"/>
        <v>-3.9606000027561095E-3</v>
      </c>
      <c r="O38">
        <f t="shared" ca="1" si="4"/>
        <v>-9.9774186918601144E-3</v>
      </c>
      <c r="Q38" s="1">
        <f t="shared" si="5"/>
        <v>16211.939999999999</v>
      </c>
    </row>
    <row r="39" spans="1:17" x14ac:dyDescent="0.2">
      <c r="A39" s="30" t="s">
        <v>121</v>
      </c>
      <c r="B39" s="32" t="s">
        <v>56</v>
      </c>
      <c r="C39" s="31">
        <v>31231.43</v>
      </c>
      <c r="D39" s="5"/>
      <c r="E39">
        <f t="shared" si="0"/>
        <v>17.988717043495885</v>
      </c>
      <c r="F39">
        <f t="shared" si="1"/>
        <v>18</v>
      </c>
      <c r="G39">
        <f t="shared" si="2"/>
        <v>-1.1252399999648333E-2</v>
      </c>
      <c r="H39">
        <f t="shared" si="3"/>
        <v>-1.1252399999648333E-2</v>
      </c>
      <c r="O39">
        <f t="shared" ca="1" si="4"/>
        <v>-9.9803095833611612E-3</v>
      </c>
      <c r="Q39" s="1">
        <f t="shared" si="5"/>
        <v>16212.93</v>
      </c>
    </row>
    <row r="40" spans="1:17" x14ac:dyDescent="0.2">
      <c r="A40" s="30" t="s">
        <v>121</v>
      </c>
      <c r="B40" s="32" t="s">
        <v>56</v>
      </c>
      <c r="C40" s="31">
        <v>31233.45</v>
      </c>
      <c r="D40" s="5"/>
      <c r="E40">
        <f t="shared" si="0"/>
        <v>20.014202463109722</v>
      </c>
      <c r="F40">
        <f t="shared" si="1"/>
        <v>20</v>
      </c>
      <c r="G40">
        <f t="shared" si="2"/>
        <v>1.4164000000164378E-2</v>
      </c>
      <c r="H40">
        <f t="shared" si="3"/>
        <v>1.4164000000164378E-2</v>
      </c>
      <c r="O40">
        <f t="shared" ca="1" si="4"/>
        <v>-9.9860913663632582E-3</v>
      </c>
      <c r="Q40" s="1">
        <f t="shared" si="5"/>
        <v>16214.95</v>
      </c>
    </row>
    <row r="41" spans="1:17" x14ac:dyDescent="0.2">
      <c r="A41" s="30" t="s">
        <v>121</v>
      </c>
      <c r="B41" s="32" t="s">
        <v>56</v>
      </c>
      <c r="C41" s="31">
        <v>31235.42</v>
      </c>
      <c r="D41" s="5"/>
      <c r="E41">
        <f t="shared" si="0"/>
        <v>21.989552105007434</v>
      </c>
      <c r="F41">
        <f t="shared" si="1"/>
        <v>22</v>
      </c>
      <c r="G41">
        <f t="shared" si="2"/>
        <v>-1.0419600002933294E-2</v>
      </c>
      <c r="H41">
        <f t="shared" si="3"/>
        <v>-1.0419600002933294E-2</v>
      </c>
      <c r="O41">
        <f t="shared" ca="1" si="4"/>
        <v>-9.9918731493653552E-3</v>
      </c>
      <c r="Q41" s="1">
        <f t="shared" si="5"/>
        <v>16216.919999999998</v>
      </c>
    </row>
    <row r="42" spans="1:17" x14ac:dyDescent="0.2">
      <c r="A42" s="30" t="s">
        <v>121</v>
      </c>
      <c r="B42" s="32" t="s">
        <v>56</v>
      </c>
      <c r="C42" s="31">
        <v>31253.38</v>
      </c>
      <c r="D42" s="5"/>
      <c r="E42">
        <f t="shared" si="0"/>
        <v>39.99832345959269</v>
      </c>
      <c r="F42">
        <f t="shared" si="1"/>
        <v>40</v>
      </c>
      <c r="G42">
        <f t="shared" si="2"/>
        <v>-1.6720000021450687E-3</v>
      </c>
      <c r="H42">
        <f t="shared" si="3"/>
        <v>-1.6720000021450687E-3</v>
      </c>
      <c r="O42">
        <f t="shared" ca="1" si="4"/>
        <v>-1.0043909196384222E-2</v>
      </c>
      <c r="Q42" s="1">
        <f t="shared" si="5"/>
        <v>16234.880000000001</v>
      </c>
    </row>
    <row r="43" spans="1:17" x14ac:dyDescent="0.2">
      <c r="A43" s="30" t="s">
        <v>121</v>
      </c>
      <c r="B43" s="32" t="s">
        <v>56</v>
      </c>
      <c r="C43" s="31">
        <v>31256.39</v>
      </c>
      <c r="D43" s="5"/>
      <c r="E43">
        <f t="shared" si="0"/>
        <v>43.0164972779259</v>
      </c>
      <c r="F43">
        <f t="shared" si="1"/>
        <v>43</v>
      </c>
      <c r="G43">
        <f t="shared" si="2"/>
        <v>1.645259999713744E-2</v>
      </c>
      <c r="H43">
        <f t="shared" si="3"/>
        <v>1.645259999713744E-2</v>
      </c>
      <c r="O43">
        <f t="shared" ca="1" si="4"/>
        <v>-1.0052581870887367E-2</v>
      </c>
      <c r="Q43" s="1">
        <f t="shared" si="5"/>
        <v>16237.89</v>
      </c>
    </row>
    <row r="44" spans="1:17" x14ac:dyDescent="0.2">
      <c r="A44" s="30" t="s">
        <v>121</v>
      </c>
      <c r="B44" s="32" t="s">
        <v>56</v>
      </c>
      <c r="C44" s="31">
        <v>31259.35</v>
      </c>
      <c r="D44" s="5"/>
      <c r="E44">
        <f t="shared" si="0"/>
        <v>45.984535318546634</v>
      </c>
      <c r="F44">
        <f t="shared" si="1"/>
        <v>46</v>
      </c>
      <c r="G44">
        <f t="shared" si="2"/>
        <v>-1.5422800002852455E-2</v>
      </c>
      <c r="H44">
        <f t="shared" si="3"/>
        <v>-1.5422800002852455E-2</v>
      </c>
      <c r="O44">
        <f t="shared" ca="1" si="4"/>
        <v>-1.0061254545390511E-2</v>
      </c>
      <c r="Q44" s="1">
        <f t="shared" si="5"/>
        <v>16240.849999999999</v>
      </c>
    </row>
    <row r="45" spans="1:17" x14ac:dyDescent="0.2">
      <c r="A45" s="30" t="s">
        <v>121</v>
      </c>
      <c r="B45" s="32" t="s">
        <v>56</v>
      </c>
      <c r="C45" s="31">
        <v>31265.33</v>
      </c>
      <c r="D45" s="5"/>
      <c r="E45">
        <f t="shared" si="0"/>
        <v>51.980774333048913</v>
      </c>
      <c r="F45">
        <f t="shared" si="1"/>
        <v>52</v>
      </c>
      <c r="G45">
        <f t="shared" si="2"/>
        <v>-1.9173600001522573E-2</v>
      </c>
      <c r="H45">
        <f t="shared" si="3"/>
        <v>-1.9173600001522573E-2</v>
      </c>
      <c r="O45">
        <f t="shared" ca="1" si="4"/>
        <v>-1.00785998943968E-2</v>
      </c>
      <c r="Q45" s="1">
        <f t="shared" si="5"/>
        <v>16246.830000000002</v>
      </c>
    </row>
    <row r="46" spans="1:17" x14ac:dyDescent="0.2">
      <c r="A46" s="30" t="s">
        <v>121</v>
      </c>
      <c r="B46" s="32" t="s">
        <v>56</v>
      </c>
      <c r="C46" s="31">
        <v>31266.33</v>
      </c>
      <c r="D46" s="5"/>
      <c r="E46">
        <f t="shared" si="0"/>
        <v>52.98348988731297</v>
      </c>
      <c r="F46">
        <f t="shared" si="1"/>
        <v>53</v>
      </c>
      <c r="G46">
        <f t="shared" si="2"/>
        <v>-1.6465400000015507E-2</v>
      </c>
      <c r="H46">
        <f t="shared" si="3"/>
        <v>-1.6465400000015507E-2</v>
      </c>
      <c r="O46">
        <f t="shared" ca="1" si="4"/>
        <v>-1.0081490785897849E-2</v>
      </c>
      <c r="Q46" s="1">
        <f t="shared" si="5"/>
        <v>16247.830000000002</v>
      </c>
    </row>
    <row r="47" spans="1:17" x14ac:dyDescent="0.2">
      <c r="A47" s="30" t="s">
        <v>121</v>
      </c>
      <c r="B47" s="32" t="s">
        <v>56</v>
      </c>
      <c r="C47" s="31">
        <v>31267.35</v>
      </c>
      <c r="D47" s="5"/>
      <c r="E47">
        <f t="shared" si="0"/>
        <v>54.006259752659098</v>
      </c>
      <c r="F47">
        <f t="shared" si="1"/>
        <v>54</v>
      </c>
      <c r="G47">
        <f t="shared" si="2"/>
        <v>6.2427999982901383E-3</v>
      </c>
      <c r="H47">
        <f t="shared" si="3"/>
        <v>6.2427999982901383E-3</v>
      </c>
      <c r="O47">
        <f t="shared" ca="1" si="4"/>
        <v>-1.0084381677398896E-2</v>
      </c>
      <c r="Q47" s="1">
        <f t="shared" si="5"/>
        <v>16248.849999999999</v>
      </c>
    </row>
    <row r="48" spans="1:17" x14ac:dyDescent="0.2">
      <c r="A48" s="30" t="s">
        <v>77</v>
      </c>
      <c r="B48" s="32" t="s">
        <v>56</v>
      </c>
      <c r="C48" s="31">
        <v>31606.434000000001</v>
      </c>
      <c r="D48" s="5"/>
      <c r="E48">
        <f t="shared" si="0"/>
        <v>394.01106075473552</v>
      </c>
      <c r="F48">
        <f t="shared" si="1"/>
        <v>394</v>
      </c>
      <c r="G48">
        <f t="shared" si="2"/>
        <v>1.1030800000298768E-2</v>
      </c>
      <c r="H48">
        <f t="shared" si="3"/>
        <v>1.1030800000298768E-2</v>
      </c>
      <c r="O48">
        <f t="shared" ca="1" si="4"/>
        <v>-1.1067284787755276E-2</v>
      </c>
      <c r="Q48" s="1">
        <f t="shared" si="5"/>
        <v>16587.934000000001</v>
      </c>
    </row>
    <row r="49" spans="1:31" x14ac:dyDescent="0.2">
      <c r="A49" s="30" t="s">
        <v>77</v>
      </c>
      <c r="B49" s="32" t="s">
        <v>56</v>
      </c>
      <c r="C49" s="31">
        <v>31648.297999999999</v>
      </c>
      <c r="D49" s="5"/>
      <c r="E49">
        <f t="shared" si="0"/>
        <v>435.9887447184438</v>
      </c>
      <c r="F49">
        <f t="shared" si="1"/>
        <v>436</v>
      </c>
      <c r="G49">
        <f t="shared" si="2"/>
        <v>-1.1224800004129065E-2</v>
      </c>
      <c r="H49">
        <f t="shared" si="3"/>
        <v>-1.1224800004129065E-2</v>
      </c>
      <c r="O49">
        <f t="shared" ca="1" si="4"/>
        <v>-1.1188702230799298E-2</v>
      </c>
      <c r="Q49" s="1">
        <f t="shared" si="5"/>
        <v>16629.797999999999</v>
      </c>
    </row>
    <row r="50" spans="1:31" x14ac:dyDescent="0.2">
      <c r="A50" s="30" t="s">
        <v>77</v>
      </c>
      <c r="B50" s="32" t="s">
        <v>56</v>
      </c>
      <c r="C50" s="31">
        <v>31906.589</v>
      </c>
      <c r="D50" s="5"/>
      <c r="E50">
        <f t="shared" si="0"/>
        <v>694.98114794486264</v>
      </c>
      <c r="F50">
        <f t="shared" si="1"/>
        <v>695</v>
      </c>
      <c r="G50">
        <f t="shared" si="2"/>
        <v>-1.8801000001985813E-2</v>
      </c>
      <c r="H50">
        <f t="shared" si="3"/>
        <v>-1.8801000001985813E-2</v>
      </c>
      <c r="O50">
        <f t="shared" ca="1" si="4"/>
        <v>-1.1937443129570777E-2</v>
      </c>
      <c r="Q50" s="1">
        <f t="shared" si="5"/>
        <v>16888.089</v>
      </c>
    </row>
    <row r="51" spans="1:31" x14ac:dyDescent="0.2">
      <c r="A51" s="30" t="s">
        <v>77</v>
      </c>
      <c r="B51" s="32" t="s">
        <v>56</v>
      </c>
      <c r="C51" s="31">
        <v>32413.237000000001</v>
      </c>
      <c r="D51" s="5"/>
      <c r="E51">
        <f t="shared" si="0"/>
        <v>1203.00497808164</v>
      </c>
      <c r="F51">
        <f t="shared" si="1"/>
        <v>1203</v>
      </c>
      <c r="G51">
        <f t="shared" si="2"/>
        <v>4.9646000006760005E-3</v>
      </c>
      <c r="H51">
        <f t="shared" si="3"/>
        <v>4.9646000006760005E-3</v>
      </c>
      <c r="O51">
        <f t="shared" ca="1" si="4"/>
        <v>-1.3406016012103249E-2</v>
      </c>
      <c r="Q51" s="1">
        <f t="shared" si="5"/>
        <v>17394.737000000001</v>
      </c>
    </row>
    <row r="52" spans="1:31" x14ac:dyDescent="0.2">
      <c r="A52" s="30" t="s">
        <v>77</v>
      </c>
      <c r="B52" s="32" t="s">
        <v>56</v>
      </c>
      <c r="C52" s="31">
        <v>32682.49</v>
      </c>
      <c r="D52" s="5"/>
      <c r="E52">
        <f t="shared" si="0"/>
        <v>1472.9891492139011</v>
      </c>
      <c r="F52">
        <f t="shared" si="1"/>
        <v>1473</v>
      </c>
      <c r="G52">
        <f t="shared" si="2"/>
        <v>-1.0821399999258574E-2</v>
      </c>
      <c r="H52">
        <f t="shared" si="3"/>
        <v>-1.0821399999258574E-2</v>
      </c>
      <c r="O52">
        <f t="shared" ca="1" si="4"/>
        <v>-1.4186556717386256E-2</v>
      </c>
      <c r="Q52" s="1">
        <f t="shared" si="5"/>
        <v>17663.990000000002</v>
      </c>
    </row>
    <row r="53" spans="1:31" x14ac:dyDescent="0.2">
      <c r="A53" s="30" t="s">
        <v>77</v>
      </c>
      <c r="B53" s="32" t="s">
        <v>56</v>
      </c>
      <c r="C53" s="31">
        <v>32786.237000000001</v>
      </c>
      <c r="D53" s="5"/>
      <c r="E53">
        <f t="shared" ref="E53:E84" si="6">+(C53-C$7)/C$8</f>
        <v>1577.0178798221339</v>
      </c>
      <c r="F53">
        <f t="shared" ref="F53:F84" si="7">ROUND(2*E53,0)/2</f>
        <v>1577</v>
      </c>
      <c r="G53">
        <f t="shared" ref="G53:G84" si="8">+C53-(C$7+F53*C$8)</f>
        <v>1.7831400000432041E-2</v>
      </c>
      <c r="H53">
        <f t="shared" si="3"/>
        <v>1.7831400000432041E-2</v>
      </c>
      <c r="O53">
        <f t="shared" ref="O53:O84" ca="1" si="9">+C$11+C$12*$F53</f>
        <v>-1.4487209433495267E-2</v>
      </c>
      <c r="Q53" s="1">
        <f t="shared" ref="Q53:Q84" si="10">+C53-15018.5</f>
        <v>17767.737000000001</v>
      </c>
    </row>
    <row r="54" spans="1:31" x14ac:dyDescent="0.2">
      <c r="A54" s="30" t="s">
        <v>77</v>
      </c>
      <c r="B54" s="32" t="s">
        <v>56</v>
      </c>
      <c r="C54" s="31">
        <v>33088.402999999998</v>
      </c>
      <c r="D54" s="5"/>
      <c r="E54">
        <f t="shared" si="6"/>
        <v>1880.0044279918845</v>
      </c>
      <c r="F54">
        <f t="shared" si="7"/>
        <v>1880</v>
      </c>
      <c r="G54">
        <f t="shared" si="8"/>
        <v>4.4159999961266294E-3</v>
      </c>
      <c r="H54">
        <f t="shared" si="3"/>
        <v>4.4159999961266294E-3</v>
      </c>
      <c r="O54">
        <f t="shared" ca="1" si="9"/>
        <v>-1.5363149558312864E-2</v>
      </c>
      <c r="Q54" s="1">
        <f t="shared" si="10"/>
        <v>18069.902999999998</v>
      </c>
    </row>
    <row r="55" spans="1:31" x14ac:dyDescent="0.2">
      <c r="A55" s="30" t="s">
        <v>77</v>
      </c>
      <c r="B55" s="32" t="s">
        <v>56</v>
      </c>
      <c r="C55" s="31">
        <v>36376.455999999998</v>
      </c>
      <c r="D55" s="5"/>
      <c r="E55">
        <f t="shared" si="6"/>
        <v>5176.9863143364828</v>
      </c>
      <c r="F55">
        <f t="shared" si="7"/>
        <v>5177</v>
      </c>
      <c r="G55">
        <f t="shared" si="8"/>
        <v>-1.3648600004671607E-2</v>
      </c>
      <c r="H55">
        <f t="shared" si="3"/>
        <v>-1.3648600004671607E-2</v>
      </c>
      <c r="O55">
        <f t="shared" ca="1" si="9"/>
        <v>-2.4894418837268693E-2</v>
      </c>
      <c r="Q55" s="1">
        <f t="shared" si="10"/>
        <v>21357.955999999998</v>
      </c>
    </row>
    <row r="56" spans="1:31" x14ac:dyDescent="0.2">
      <c r="A56" s="30" t="s">
        <v>77</v>
      </c>
      <c r="B56" s="32" t="s">
        <v>56</v>
      </c>
      <c r="C56" s="31">
        <v>36395.410000000003</v>
      </c>
      <c r="D56" s="5"/>
      <c r="E56">
        <f t="shared" si="6"/>
        <v>5195.9917849520089</v>
      </c>
      <c r="F56">
        <f t="shared" si="7"/>
        <v>5196</v>
      </c>
      <c r="G56">
        <f t="shared" si="8"/>
        <v>-8.1927999999606982E-3</v>
      </c>
      <c r="H56">
        <f t="shared" si="3"/>
        <v>-8.1927999999606982E-3</v>
      </c>
      <c r="O56">
        <f t="shared" ca="1" si="9"/>
        <v>-2.4949345775788612E-2</v>
      </c>
      <c r="Q56" s="1">
        <f t="shared" si="10"/>
        <v>21376.910000000003</v>
      </c>
    </row>
    <row r="57" spans="1:31" x14ac:dyDescent="0.2">
      <c r="A57" s="30" t="s">
        <v>77</v>
      </c>
      <c r="B57" s="32" t="s">
        <v>56</v>
      </c>
      <c r="C57" s="31">
        <v>36723.491000000002</v>
      </c>
      <c r="D57" s="5"/>
      <c r="E57">
        <f t="shared" si="6"/>
        <v>5524.9637067105141</v>
      </c>
      <c r="F57">
        <f t="shared" si="7"/>
        <v>5525</v>
      </c>
      <c r="G57">
        <f t="shared" si="8"/>
        <v>-3.6195000000589062E-2</v>
      </c>
      <c r="H57">
        <f t="shared" si="3"/>
        <v>-3.6195000000589062E-2</v>
      </c>
      <c r="O57">
        <f t="shared" ca="1" si="9"/>
        <v>-2.5900449079633459E-2</v>
      </c>
      <c r="Q57" s="1">
        <f t="shared" si="10"/>
        <v>21704.991000000002</v>
      </c>
    </row>
    <row r="58" spans="1:31" x14ac:dyDescent="0.2">
      <c r="A58" s="30" t="s">
        <v>77</v>
      </c>
      <c r="B58" s="32" t="s">
        <v>56</v>
      </c>
      <c r="C58" s="31">
        <v>36762.385999999999</v>
      </c>
      <c r="D58" s="5"/>
      <c r="E58">
        <f t="shared" si="6"/>
        <v>5563.9643281936114</v>
      </c>
      <c r="F58">
        <f t="shared" si="7"/>
        <v>5564</v>
      </c>
      <c r="G58">
        <f t="shared" si="8"/>
        <v>-3.5575200003222562E-2</v>
      </c>
      <c r="H58">
        <f t="shared" si="3"/>
        <v>-3.5575200003222562E-2</v>
      </c>
      <c r="O58">
        <f t="shared" ca="1" si="9"/>
        <v>-2.601319384817434E-2</v>
      </c>
      <c r="Q58" s="1">
        <f t="shared" si="10"/>
        <v>21743.885999999999</v>
      </c>
    </row>
    <row r="59" spans="1:31" x14ac:dyDescent="0.2">
      <c r="A59" t="s">
        <v>31</v>
      </c>
      <c r="B59" s="2" t="s">
        <v>33</v>
      </c>
      <c r="C59" s="9">
        <v>50515.5</v>
      </c>
      <c r="D59" s="9">
        <v>0.01</v>
      </c>
      <c r="E59">
        <f t="shared" si="6"/>
        <v>19354.42565556039</v>
      </c>
      <c r="F59">
        <f t="shared" si="7"/>
        <v>19354.5</v>
      </c>
      <c r="G59">
        <f t="shared" si="8"/>
        <v>-7.4143100006040186E-2</v>
      </c>
      <c r="I59">
        <f>+G59</f>
        <v>-7.4143100006040186E-2</v>
      </c>
      <c r="O59">
        <f t="shared" ca="1" si="9"/>
        <v>-6.5880033093379198E-2</v>
      </c>
      <c r="Q59" s="1">
        <f t="shared" si="10"/>
        <v>35497</v>
      </c>
      <c r="AC59" t="s">
        <v>30</v>
      </c>
      <c r="AE59" t="s">
        <v>32</v>
      </c>
    </row>
    <row r="60" spans="1:31" x14ac:dyDescent="0.2">
      <c r="A60" t="s">
        <v>35</v>
      </c>
      <c r="B60" s="2"/>
      <c r="C60" s="9">
        <v>50849.600400000003</v>
      </c>
      <c r="D60" s="9">
        <v>2.0999999999999999E-3</v>
      </c>
      <c r="E60">
        <f t="shared" si="6"/>
        <v>19689.433323326233</v>
      </c>
      <c r="F60">
        <f t="shared" si="7"/>
        <v>19689.5</v>
      </c>
      <c r="G60">
        <f t="shared" si="8"/>
        <v>-6.6496099992946256E-2</v>
      </c>
      <c r="K60">
        <f t="shared" ref="K60:K74" si="11">+G60</f>
        <v>-6.6496099992946256E-2</v>
      </c>
      <c r="O60">
        <f t="shared" ca="1" si="9"/>
        <v>-6.6848481746230329E-2</v>
      </c>
      <c r="Q60" s="1">
        <f t="shared" si="10"/>
        <v>35831.100400000003</v>
      </c>
    </row>
    <row r="61" spans="1:31" x14ac:dyDescent="0.2">
      <c r="A61" t="s">
        <v>35</v>
      </c>
      <c r="B61" s="2"/>
      <c r="C61" s="9">
        <v>50921.400900000001</v>
      </c>
      <c r="D61" s="9">
        <v>5.4000000000000003E-3</v>
      </c>
      <c r="E61">
        <f t="shared" si="6"/>
        <v>19761.428801480168</v>
      </c>
      <c r="F61">
        <f t="shared" si="7"/>
        <v>19761.5</v>
      </c>
      <c r="G61">
        <f t="shared" si="8"/>
        <v>-7.1005700003297534E-2</v>
      </c>
      <c r="K61">
        <f t="shared" si="11"/>
        <v>-7.1005700003297534E-2</v>
      </c>
      <c r="O61">
        <f t="shared" ca="1" si="9"/>
        <v>-6.7056625934305794E-2</v>
      </c>
      <c r="Q61" s="1">
        <f t="shared" si="10"/>
        <v>35902.900900000001</v>
      </c>
    </row>
    <row r="62" spans="1:31" x14ac:dyDescent="0.2">
      <c r="A62" t="s">
        <v>35</v>
      </c>
      <c r="B62" s="2"/>
      <c r="C62" s="9">
        <v>50927.384400000003</v>
      </c>
      <c r="D62" s="9">
        <v>2E-3</v>
      </c>
      <c r="E62">
        <f t="shared" si="6"/>
        <v>19767.428549999109</v>
      </c>
      <c r="F62">
        <f t="shared" si="7"/>
        <v>19767.5</v>
      </c>
      <c r="G62">
        <f t="shared" si="8"/>
        <v>-7.1256499999435619E-2</v>
      </c>
      <c r="K62">
        <f t="shared" si="11"/>
        <v>-7.1256499999435619E-2</v>
      </c>
      <c r="O62">
        <f t="shared" ca="1" si="9"/>
        <v>-6.7073971283312092E-2</v>
      </c>
      <c r="Q62" s="1">
        <f t="shared" si="10"/>
        <v>35908.884400000003</v>
      </c>
    </row>
    <row r="63" spans="1:31" x14ac:dyDescent="0.2">
      <c r="A63" s="30" t="s">
        <v>198</v>
      </c>
      <c r="B63" s="32" t="s">
        <v>33</v>
      </c>
      <c r="C63" s="31">
        <v>51250.5</v>
      </c>
      <c r="D63" s="5"/>
      <c r="E63">
        <f t="shared" si="6"/>
        <v>20091.421587944471</v>
      </c>
      <c r="F63">
        <f t="shared" si="7"/>
        <v>20091.5</v>
      </c>
      <c r="G63">
        <f t="shared" si="8"/>
        <v>-7.8199700001277961E-2</v>
      </c>
      <c r="K63">
        <f t="shared" si="11"/>
        <v>-7.8199700001277961E-2</v>
      </c>
      <c r="O63">
        <f t="shared" ca="1" si="9"/>
        <v>-6.80106201296517E-2</v>
      </c>
      <c r="Q63" s="1">
        <f t="shared" si="10"/>
        <v>36232</v>
      </c>
      <c r="AA63">
        <v>44</v>
      </c>
    </row>
    <row r="64" spans="1:31" x14ac:dyDescent="0.2">
      <c r="A64" t="s">
        <v>34</v>
      </c>
      <c r="B64" s="3" t="s">
        <v>33</v>
      </c>
      <c r="C64" s="10">
        <v>51270.452599999997</v>
      </c>
      <c r="D64" s="10">
        <v>3.0000000000000001E-3</v>
      </c>
      <c r="E64">
        <f t="shared" si="6"/>
        <v>20111.428370312475</v>
      </c>
      <c r="F64">
        <f t="shared" si="7"/>
        <v>20111.5</v>
      </c>
      <c r="G64">
        <f t="shared" si="8"/>
        <v>-7.1435700003348757E-2</v>
      </c>
      <c r="K64">
        <f t="shared" si="11"/>
        <v>-7.1435700003348757E-2</v>
      </c>
      <c r="O64">
        <f t="shared" ca="1" si="9"/>
        <v>-6.8068437959672656E-2</v>
      </c>
      <c r="Q64" s="1">
        <f t="shared" si="10"/>
        <v>36251.952599999997</v>
      </c>
    </row>
    <row r="65" spans="1:18" x14ac:dyDescent="0.2">
      <c r="A65" s="30" t="s">
        <v>205</v>
      </c>
      <c r="B65" s="32" t="s">
        <v>33</v>
      </c>
      <c r="C65" s="31">
        <v>51610.5291</v>
      </c>
      <c r="D65" s="5"/>
      <c r="E65">
        <f t="shared" si="6"/>
        <v>20452.428366502161</v>
      </c>
      <c r="F65">
        <f t="shared" si="7"/>
        <v>20452.5</v>
      </c>
      <c r="G65">
        <f t="shared" si="8"/>
        <v>-7.1439499995904043E-2</v>
      </c>
      <c r="K65">
        <f t="shared" si="11"/>
        <v>-7.1439499995904043E-2</v>
      </c>
      <c r="O65">
        <f t="shared" ca="1" si="9"/>
        <v>-6.9054231961530085E-2</v>
      </c>
      <c r="Q65" s="1">
        <f t="shared" si="10"/>
        <v>36592.0291</v>
      </c>
    </row>
    <row r="66" spans="1:18" x14ac:dyDescent="0.2">
      <c r="A66" s="11" t="s">
        <v>51</v>
      </c>
      <c r="B66" s="12" t="s">
        <v>33</v>
      </c>
      <c r="C66" s="11">
        <v>51649.421970000003</v>
      </c>
      <c r="D66" s="11">
        <v>2.3999999999999998E-3</v>
      </c>
      <c r="E66">
        <f t="shared" si="6"/>
        <v>20491.426852201133</v>
      </c>
      <c r="F66">
        <f t="shared" si="7"/>
        <v>20491.5</v>
      </c>
      <c r="G66">
        <f t="shared" si="8"/>
        <v>-7.29496999992989E-2</v>
      </c>
      <c r="K66">
        <f t="shared" si="11"/>
        <v>-7.29496999992989E-2</v>
      </c>
      <c r="O66">
        <f t="shared" ca="1" si="9"/>
        <v>-6.9166976730070967E-2</v>
      </c>
      <c r="Q66" s="1">
        <f t="shared" si="10"/>
        <v>36630.921970000003</v>
      </c>
    </row>
    <row r="67" spans="1:18" x14ac:dyDescent="0.2">
      <c r="A67" s="30" t="s">
        <v>217</v>
      </c>
      <c r="B67" s="32" t="s">
        <v>33</v>
      </c>
      <c r="C67" s="31">
        <v>51664.383099999999</v>
      </c>
      <c r="D67" s="5"/>
      <c r="E67">
        <f t="shared" si="6"/>
        <v>20506.428609961495</v>
      </c>
      <c r="F67">
        <f t="shared" si="7"/>
        <v>20506.5</v>
      </c>
      <c r="G67">
        <f t="shared" si="8"/>
        <v>-7.1196700002474245E-2</v>
      </c>
      <c r="K67">
        <f t="shared" si="11"/>
        <v>-7.1196700002474245E-2</v>
      </c>
      <c r="O67">
        <f t="shared" ca="1" si="9"/>
        <v>-6.9210340102586684E-2</v>
      </c>
      <c r="Q67" s="1">
        <f t="shared" si="10"/>
        <v>36645.883099999999</v>
      </c>
    </row>
    <row r="68" spans="1:18" x14ac:dyDescent="0.2">
      <c r="A68" s="30" t="s">
        <v>222</v>
      </c>
      <c r="B68" s="32" t="s">
        <v>33</v>
      </c>
      <c r="C68" s="31">
        <v>51955.591899999999</v>
      </c>
      <c r="D68" s="5"/>
      <c r="E68">
        <f t="shared" si="6"/>
        <v>20798.428203260068</v>
      </c>
      <c r="F68">
        <f t="shared" si="7"/>
        <v>20798.5</v>
      </c>
      <c r="G68">
        <f t="shared" si="8"/>
        <v>-7.160229999863077E-2</v>
      </c>
      <c r="K68">
        <f t="shared" si="11"/>
        <v>-7.160229999863077E-2</v>
      </c>
      <c r="O68">
        <f t="shared" ca="1" si="9"/>
        <v>-7.0054480420892754E-2</v>
      </c>
      <c r="Q68" s="1">
        <f t="shared" si="10"/>
        <v>36937.091899999999</v>
      </c>
    </row>
    <row r="69" spans="1:18" x14ac:dyDescent="0.2">
      <c r="A69" s="11" t="s">
        <v>51</v>
      </c>
      <c r="B69" s="12" t="s">
        <v>33</v>
      </c>
      <c r="C69" s="11">
        <v>52321.595930000003</v>
      </c>
      <c r="D69" s="11">
        <v>2.3999999999999998E-3</v>
      </c>
      <c r="E69">
        <f t="shared" si="6"/>
        <v>21165.426137064402</v>
      </c>
      <c r="F69">
        <f t="shared" si="7"/>
        <v>21165.5</v>
      </c>
      <c r="G69">
        <f t="shared" si="8"/>
        <v>-7.3662899994815234E-2</v>
      </c>
      <c r="K69">
        <f t="shared" si="11"/>
        <v>-7.3662899994815234E-2</v>
      </c>
      <c r="O69">
        <f t="shared" ca="1" si="9"/>
        <v>-7.1115437601777437E-2</v>
      </c>
      <c r="Q69" s="1">
        <f t="shared" si="10"/>
        <v>37303.095930000003</v>
      </c>
    </row>
    <row r="70" spans="1:18" x14ac:dyDescent="0.2">
      <c r="A70" s="30" t="s">
        <v>229</v>
      </c>
      <c r="B70" s="32" t="s">
        <v>33</v>
      </c>
      <c r="C70" s="31">
        <v>52362.48</v>
      </c>
      <c r="D70" s="5"/>
      <c r="E70">
        <f t="shared" si="6"/>
        <v>21206.421229975022</v>
      </c>
      <c r="F70">
        <f t="shared" si="7"/>
        <v>21206.5</v>
      </c>
      <c r="G70">
        <f t="shared" si="8"/>
        <v>-7.8556699998443946E-2</v>
      </c>
      <c r="K70">
        <f t="shared" si="11"/>
        <v>-7.8556699998443946E-2</v>
      </c>
      <c r="O70">
        <f t="shared" ca="1" si="9"/>
        <v>-7.1233964153320409E-2</v>
      </c>
      <c r="Q70" s="1">
        <f t="shared" si="10"/>
        <v>37343.980000000003</v>
      </c>
    </row>
    <row r="71" spans="1:18" x14ac:dyDescent="0.2">
      <c r="A71" s="30" t="s">
        <v>229</v>
      </c>
      <c r="B71" s="32" t="s">
        <v>33</v>
      </c>
      <c r="C71" s="31">
        <v>52395.402999999998</v>
      </c>
      <c r="D71" s="5"/>
      <c r="E71">
        <f t="shared" si="6"/>
        <v>21239.43363416805</v>
      </c>
      <c r="F71">
        <f t="shared" si="7"/>
        <v>21239.5</v>
      </c>
      <c r="G71">
        <f t="shared" si="8"/>
        <v>-6.6186100004415493E-2</v>
      </c>
      <c r="K71">
        <f t="shared" si="11"/>
        <v>-6.6186100004415493E-2</v>
      </c>
      <c r="O71">
        <f t="shared" ca="1" si="9"/>
        <v>-7.1329363572855006E-2</v>
      </c>
      <c r="Q71" s="1">
        <f t="shared" si="10"/>
        <v>37376.902999999998</v>
      </c>
      <c r="R71" s="69"/>
    </row>
    <row r="72" spans="1:18" x14ac:dyDescent="0.2">
      <c r="A72" s="13" t="s">
        <v>36</v>
      </c>
      <c r="B72" s="14" t="s">
        <v>33</v>
      </c>
      <c r="C72" s="13">
        <v>53050.610999999997</v>
      </c>
      <c r="D72" s="15">
        <v>7.0000000000000001E-3</v>
      </c>
      <c r="E72">
        <f t="shared" si="6"/>
        <v>21896.420887046297</v>
      </c>
      <c r="F72">
        <f t="shared" si="7"/>
        <v>21896.5</v>
      </c>
      <c r="G72">
        <f t="shared" si="8"/>
        <v>-7.8898700005083811E-2</v>
      </c>
      <c r="K72">
        <f t="shared" si="11"/>
        <v>-7.8898700005083811E-2</v>
      </c>
      <c r="O72">
        <f t="shared" ca="1" si="9"/>
        <v>-7.3228679289043655E-2</v>
      </c>
      <c r="Q72" s="1">
        <f t="shared" si="10"/>
        <v>38032.110999999997</v>
      </c>
      <c r="R72" s="69"/>
    </row>
    <row r="73" spans="1:18" x14ac:dyDescent="0.2">
      <c r="A73" s="13" t="s">
        <v>55</v>
      </c>
      <c r="B73" s="14" t="s">
        <v>56</v>
      </c>
      <c r="C73" s="13">
        <v>53143.8626</v>
      </c>
      <c r="D73" s="13">
        <v>4.0000000000000002E-4</v>
      </c>
      <c r="E73">
        <f t="shared" si="6"/>
        <v>21989.92571682631</v>
      </c>
      <c r="F73">
        <f t="shared" si="7"/>
        <v>21990</v>
      </c>
      <c r="G73">
        <f t="shared" si="8"/>
        <v>-7.408199999917997E-2</v>
      </c>
      <c r="K73">
        <f t="shared" si="11"/>
        <v>-7.408199999917997E-2</v>
      </c>
      <c r="O73">
        <f t="shared" ca="1" si="9"/>
        <v>-7.3498977644391658E-2</v>
      </c>
      <c r="Q73" s="1">
        <f t="shared" si="10"/>
        <v>38125.3626</v>
      </c>
      <c r="R73" s="69"/>
    </row>
    <row r="74" spans="1:18" x14ac:dyDescent="0.2">
      <c r="A74" s="6" t="s">
        <v>42</v>
      </c>
      <c r="B74" s="7" t="s">
        <v>33</v>
      </c>
      <c r="C74" s="8">
        <v>53447.53</v>
      </c>
      <c r="D74" s="8">
        <v>8.0000000000000002E-3</v>
      </c>
      <c r="E74">
        <f t="shared" si="6"/>
        <v>22294.417742129233</v>
      </c>
      <c r="F74">
        <f t="shared" si="7"/>
        <v>22294.5</v>
      </c>
      <c r="G74">
        <f t="shared" si="8"/>
        <v>-8.2035100000211969E-2</v>
      </c>
      <c r="K74">
        <f t="shared" si="11"/>
        <v>-8.2035100000211969E-2</v>
      </c>
      <c r="O74">
        <f t="shared" ca="1" si="9"/>
        <v>-7.4379254106460818E-2</v>
      </c>
      <c r="Q74" s="1">
        <f t="shared" si="10"/>
        <v>38429.03</v>
      </c>
      <c r="R74" s="69"/>
    </row>
    <row r="75" spans="1:18" x14ac:dyDescent="0.2">
      <c r="A75" s="16" t="s">
        <v>38</v>
      </c>
      <c r="B75" s="7" t="s">
        <v>33</v>
      </c>
      <c r="C75" s="8">
        <v>53492.413800000002</v>
      </c>
      <c r="D75" s="8">
        <v>5.0000000000000001E-4</v>
      </c>
      <c r="E75">
        <f t="shared" si="6"/>
        <v>22339.423426523714</v>
      </c>
      <c r="F75">
        <f t="shared" si="7"/>
        <v>22339.5</v>
      </c>
      <c r="G75">
        <f t="shared" si="8"/>
        <v>-7.6366100001905579E-2</v>
      </c>
      <c r="J75">
        <f>+G75</f>
        <v>-7.6366100001905579E-2</v>
      </c>
      <c r="O75">
        <f t="shared" ca="1" si="9"/>
        <v>-7.4509344224007984E-2</v>
      </c>
      <c r="Q75" s="1">
        <f t="shared" si="10"/>
        <v>38473.913800000002</v>
      </c>
      <c r="R75" s="69" t="s">
        <v>305</v>
      </c>
    </row>
    <row r="76" spans="1:18" x14ac:dyDescent="0.2">
      <c r="A76" s="16" t="s">
        <v>38</v>
      </c>
      <c r="B76" s="7" t="s">
        <v>33</v>
      </c>
      <c r="C76" s="8">
        <v>53503.385900000001</v>
      </c>
      <c r="D76" s="8">
        <v>5.9999999999999995E-4</v>
      </c>
      <c r="E76">
        <f t="shared" si="6"/>
        <v>22350.425321856652</v>
      </c>
      <c r="F76">
        <f t="shared" si="7"/>
        <v>22350.5</v>
      </c>
      <c r="G76">
        <f t="shared" si="8"/>
        <v>-7.4475900000834372E-2</v>
      </c>
      <c r="J76">
        <f>+G76</f>
        <v>-7.4475900000834372E-2</v>
      </c>
      <c r="O76">
        <f t="shared" ca="1" si="9"/>
        <v>-7.4541144030519521E-2</v>
      </c>
      <c r="Q76" s="1">
        <f t="shared" si="10"/>
        <v>38484.885900000001</v>
      </c>
      <c r="R76" s="69" t="s">
        <v>305</v>
      </c>
    </row>
    <row r="77" spans="1:18" x14ac:dyDescent="0.2">
      <c r="A77" s="6" t="s">
        <v>41</v>
      </c>
      <c r="B77" s="7" t="s">
        <v>33</v>
      </c>
      <c r="C77" s="8">
        <v>53814.534899999999</v>
      </c>
      <c r="D77" s="8">
        <v>1.8E-3</v>
      </c>
      <c r="E77">
        <f t="shared" si="6"/>
        <v>22662.419263850359</v>
      </c>
      <c r="F77">
        <f t="shared" si="7"/>
        <v>22662.5</v>
      </c>
      <c r="G77">
        <f t="shared" si="8"/>
        <v>-8.0517499998677522E-2</v>
      </c>
      <c r="J77">
        <f>+G77</f>
        <v>-8.0517499998677522E-2</v>
      </c>
      <c r="O77">
        <f t="shared" ca="1" si="9"/>
        <v>-7.5443102178846547E-2</v>
      </c>
      <c r="Q77" s="1">
        <f t="shared" si="10"/>
        <v>38796.034899999999</v>
      </c>
      <c r="R77" s="69" t="s">
        <v>305</v>
      </c>
    </row>
    <row r="78" spans="1:18" x14ac:dyDescent="0.2">
      <c r="A78" s="8" t="s">
        <v>49</v>
      </c>
      <c r="B78" s="7" t="s">
        <v>33</v>
      </c>
      <c r="C78" s="8">
        <v>54207.472699999998</v>
      </c>
      <c r="D78" s="8">
        <v>4.0000000000000002E-4</v>
      </c>
      <c r="E78">
        <f t="shared" si="6"/>
        <v>23056.424107768657</v>
      </c>
      <c r="F78">
        <f t="shared" si="7"/>
        <v>23056.5</v>
      </c>
      <c r="G78">
        <f t="shared" si="8"/>
        <v>-7.5686700001824647E-2</v>
      </c>
      <c r="J78">
        <f>+G78</f>
        <v>-7.5686700001824647E-2</v>
      </c>
      <c r="O78">
        <f t="shared" ca="1" si="9"/>
        <v>-7.658211343025953E-2</v>
      </c>
      <c r="Q78" s="1">
        <f t="shared" si="10"/>
        <v>39188.972699999998</v>
      </c>
      <c r="R78" s="69" t="s">
        <v>305</v>
      </c>
    </row>
    <row r="79" spans="1:18" x14ac:dyDescent="0.2">
      <c r="A79" s="8" t="s">
        <v>50</v>
      </c>
      <c r="B79" s="7" t="s">
        <v>33</v>
      </c>
      <c r="C79" s="8">
        <v>54271.296999999788</v>
      </c>
      <c r="D79" s="8">
        <v>7.0000000000000001E-3</v>
      </c>
      <c r="E79">
        <f t="shared" si="6"/>
        <v>23120.42172611846</v>
      </c>
      <c r="F79">
        <f t="shared" si="7"/>
        <v>23120.5</v>
      </c>
      <c r="G79">
        <f t="shared" si="8"/>
        <v>-7.8061900218017399E-2</v>
      </c>
      <c r="I79">
        <f t="shared" ref="I79:I86" si="12">+G79</f>
        <v>-7.8061900218017399E-2</v>
      </c>
      <c r="O79">
        <f t="shared" ca="1" si="9"/>
        <v>-7.6767130486326621E-2</v>
      </c>
      <c r="Q79" s="1">
        <f t="shared" si="10"/>
        <v>39252.796999999788</v>
      </c>
      <c r="R79" s="69" t="s">
        <v>305</v>
      </c>
    </row>
    <row r="80" spans="1:18" x14ac:dyDescent="0.2">
      <c r="A80" s="8" t="s">
        <v>50</v>
      </c>
      <c r="B80" s="7" t="s">
        <v>33</v>
      </c>
      <c r="C80" s="8">
        <v>54274.288999999873</v>
      </c>
      <c r="D80" s="8">
        <v>8.0000000000000002E-3</v>
      </c>
      <c r="E80">
        <f t="shared" si="6"/>
        <v>23123.421851056904</v>
      </c>
      <c r="F80">
        <f t="shared" si="7"/>
        <v>23123.5</v>
      </c>
      <c r="G80">
        <f t="shared" si="8"/>
        <v>-7.7937300127814524E-2</v>
      </c>
      <c r="I80">
        <f t="shared" si="12"/>
        <v>-7.7937300127814524E-2</v>
      </c>
      <c r="O80">
        <f t="shared" ca="1" si="9"/>
        <v>-7.6775803160829756E-2</v>
      </c>
      <c r="Q80" s="1">
        <f t="shared" si="10"/>
        <v>39255.788999999873</v>
      </c>
      <c r="R80" s="69" t="s">
        <v>305</v>
      </c>
    </row>
    <row r="81" spans="1:18" x14ac:dyDescent="0.2">
      <c r="A81" s="8" t="s">
        <v>50</v>
      </c>
      <c r="B81" s="7" t="s">
        <v>33</v>
      </c>
      <c r="C81" s="8">
        <v>54280.273000000045</v>
      </c>
      <c r="D81" s="8">
        <v>1.4999999999999999E-2</v>
      </c>
      <c r="E81">
        <f t="shared" si="6"/>
        <v>23129.422100933793</v>
      </c>
      <c r="F81">
        <f t="shared" si="7"/>
        <v>23129.5</v>
      </c>
      <c r="G81">
        <f t="shared" si="8"/>
        <v>-7.7688099954684731E-2</v>
      </c>
      <c r="I81">
        <f t="shared" si="12"/>
        <v>-7.7688099954684731E-2</v>
      </c>
      <c r="O81">
        <f t="shared" ca="1" si="9"/>
        <v>-7.6793148509836054E-2</v>
      </c>
      <c r="Q81" s="1">
        <f t="shared" si="10"/>
        <v>39261.773000000045</v>
      </c>
      <c r="R81" s="69" t="s">
        <v>305</v>
      </c>
    </row>
    <row r="82" spans="1:18" x14ac:dyDescent="0.2">
      <c r="A82" s="8" t="s">
        <v>50</v>
      </c>
      <c r="B82" s="7" t="s">
        <v>33</v>
      </c>
      <c r="C82" s="8">
        <v>54281.274000000209</v>
      </c>
      <c r="D82" s="8">
        <v>0.02</v>
      </c>
      <c r="E82">
        <f t="shared" si="6"/>
        <v>23130.425819203774</v>
      </c>
      <c r="F82">
        <f t="shared" si="7"/>
        <v>23130.5</v>
      </c>
      <c r="G82">
        <f t="shared" si="8"/>
        <v>-7.3979899796540849E-2</v>
      </c>
      <c r="I82">
        <f t="shared" si="12"/>
        <v>-7.3979899796540849E-2</v>
      </c>
      <c r="O82">
        <f t="shared" ca="1" si="9"/>
        <v>-7.6796039401337099E-2</v>
      </c>
      <c r="Q82" s="1">
        <f t="shared" si="10"/>
        <v>39262.774000000209</v>
      </c>
      <c r="R82" s="69" t="s">
        <v>305</v>
      </c>
    </row>
    <row r="83" spans="1:18" x14ac:dyDescent="0.2">
      <c r="A83" s="8" t="s">
        <v>50</v>
      </c>
      <c r="B83" s="7" t="s">
        <v>33</v>
      </c>
      <c r="C83" s="8">
        <v>54285.257999999914</v>
      </c>
      <c r="D83" s="8">
        <v>8.9999999999999993E-3</v>
      </c>
      <c r="E83">
        <f t="shared" si="6"/>
        <v>23134.420637971667</v>
      </c>
      <c r="F83">
        <f t="shared" si="7"/>
        <v>23134.5</v>
      </c>
      <c r="G83">
        <f t="shared" si="8"/>
        <v>-7.9147100084810518E-2</v>
      </c>
      <c r="I83">
        <f t="shared" si="12"/>
        <v>-7.9147100084810518E-2</v>
      </c>
      <c r="O83">
        <f t="shared" ca="1" si="9"/>
        <v>-7.6807602967341293E-2</v>
      </c>
      <c r="Q83" s="1">
        <f t="shared" si="10"/>
        <v>39266.757999999914</v>
      </c>
      <c r="R83" s="69" t="s">
        <v>305</v>
      </c>
    </row>
    <row r="84" spans="1:18" x14ac:dyDescent="0.2">
      <c r="A84" s="8" t="s">
        <v>50</v>
      </c>
      <c r="B84" s="7" t="s">
        <v>33</v>
      </c>
      <c r="C84" s="8">
        <v>54288.251000000164</v>
      </c>
      <c r="D84" s="8">
        <v>0.01</v>
      </c>
      <c r="E84">
        <f t="shared" si="6"/>
        <v>23137.42176562583</v>
      </c>
      <c r="F84">
        <f t="shared" si="7"/>
        <v>23137.5</v>
      </c>
      <c r="G84">
        <f t="shared" si="8"/>
        <v>-7.8022499837970827E-2</v>
      </c>
      <c r="I84">
        <f t="shared" si="12"/>
        <v>-7.8022499837970827E-2</v>
      </c>
      <c r="O84">
        <f t="shared" ca="1" si="9"/>
        <v>-7.6816275641844428E-2</v>
      </c>
      <c r="Q84" s="1">
        <f t="shared" si="10"/>
        <v>39269.751000000164</v>
      </c>
      <c r="R84" s="69" t="s">
        <v>305</v>
      </c>
    </row>
    <row r="85" spans="1:18" x14ac:dyDescent="0.2">
      <c r="A85" s="6" t="s">
        <v>54</v>
      </c>
      <c r="B85" s="7" t="s">
        <v>33</v>
      </c>
      <c r="C85" s="8">
        <v>55279.559000000001</v>
      </c>
      <c r="D85" s="8">
        <v>4.0000000000000001E-3</v>
      </c>
      <c r="E85">
        <f t="shared" ref="E85:E90" si="13">+(C85-C$7)/C$8</f>
        <v>24131.421716292061</v>
      </c>
      <c r="F85">
        <f t="shared" ref="F85:F90" si="14">ROUND(2*E85,0)/2</f>
        <v>24131.5</v>
      </c>
      <c r="G85">
        <f t="shared" ref="G85:G90" si="15">+C85-(C$7+F85*C$8)</f>
        <v>-7.8071699994325172E-2</v>
      </c>
      <c r="I85">
        <f t="shared" si="12"/>
        <v>-7.8071699994325172E-2</v>
      </c>
      <c r="O85">
        <f t="shared" ref="O85:O90" ca="1" si="16">+C$11+C$12*$F85</f>
        <v>-7.9689821793886326E-2</v>
      </c>
      <c r="Q85" s="1">
        <f t="shared" ref="Q85:Q90" si="17">+C85-15018.5</f>
        <v>40261.059000000001</v>
      </c>
      <c r="R85" s="69" t="s">
        <v>305</v>
      </c>
    </row>
    <row r="86" spans="1:18" x14ac:dyDescent="0.2">
      <c r="A86" s="13" t="s">
        <v>58</v>
      </c>
      <c r="B86" s="14" t="s">
        <v>33</v>
      </c>
      <c r="C86" s="13">
        <v>55593.707000000002</v>
      </c>
      <c r="D86" s="13">
        <v>5.0000000000000001E-3</v>
      </c>
      <c r="E86">
        <f t="shared" si="13"/>
        <v>24446.42280223301</v>
      </c>
      <c r="F86">
        <f t="shared" si="14"/>
        <v>24446.5</v>
      </c>
      <c r="G86">
        <f t="shared" si="15"/>
        <v>-7.6988699998764787E-2</v>
      </c>
      <c r="I86">
        <f t="shared" si="12"/>
        <v>-7.6988699998764787E-2</v>
      </c>
      <c r="O86">
        <f t="shared" ca="1" si="16"/>
        <v>-8.06004526167165E-2</v>
      </c>
      <c r="Q86" s="1">
        <f t="shared" si="17"/>
        <v>40575.207000000002</v>
      </c>
      <c r="R86" s="69" t="s">
        <v>305</v>
      </c>
    </row>
    <row r="87" spans="1:18" x14ac:dyDescent="0.2">
      <c r="A87" s="13" t="s">
        <v>57</v>
      </c>
      <c r="B87" s="14" t="s">
        <v>56</v>
      </c>
      <c r="C87" s="13">
        <v>55723.852299999999</v>
      </c>
      <c r="D87" s="13">
        <v>2.9999999999999997E-4</v>
      </c>
      <c r="E87">
        <f t="shared" si="13"/>
        <v>24576.921518857369</v>
      </c>
      <c r="F87">
        <f t="shared" si="14"/>
        <v>24577</v>
      </c>
      <c r="G87">
        <f t="shared" si="15"/>
        <v>-7.8268600002047606E-2</v>
      </c>
      <c r="K87">
        <f>+G87</f>
        <v>-7.8268600002047606E-2</v>
      </c>
      <c r="O87">
        <f t="shared" ca="1" si="16"/>
        <v>-8.0977713957603281E-2</v>
      </c>
      <c r="Q87" s="1">
        <f t="shared" si="17"/>
        <v>40705.352299999999</v>
      </c>
      <c r="R87" s="69"/>
    </row>
    <row r="88" spans="1:18" x14ac:dyDescent="0.2">
      <c r="A88" s="33" t="s">
        <v>59</v>
      </c>
      <c r="B88" s="34" t="s">
        <v>33</v>
      </c>
      <c r="C88" s="35">
        <v>56015.56</v>
      </c>
      <c r="D88" s="33" t="s">
        <v>1</v>
      </c>
      <c r="E88">
        <f t="shared" si="13"/>
        <v>24869.42136694596</v>
      </c>
      <c r="F88">
        <f t="shared" si="14"/>
        <v>24869.5</v>
      </c>
      <c r="G88">
        <f t="shared" si="15"/>
        <v>-7.8420100006042048E-2</v>
      </c>
      <c r="I88">
        <f>+G88</f>
        <v>-7.8420100006042048E-2</v>
      </c>
      <c r="O88">
        <f t="shared" ca="1" si="16"/>
        <v>-8.1823299721659873E-2</v>
      </c>
      <c r="Q88" s="1">
        <f t="shared" si="17"/>
        <v>40997.06</v>
      </c>
      <c r="R88" s="69" t="s">
        <v>305</v>
      </c>
    </row>
    <row r="89" spans="1:18" x14ac:dyDescent="0.2">
      <c r="A89" s="36" t="s">
        <v>60</v>
      </c>
      <c r="B89" s="37" t="s">
        <v>33</v>
      </c>
      <c r="C89" s="38">
        <v>57153.470999999998</v>
      </c>
      <c r="D89" s="38">
        <v>5.0000000000000001E-3</v>
      </c>
      <c r="E89">
        <f t="shared" si="13"/>
        <v>26010.422426014127</v>
      </c>
      <c r="F89">
        <f t="shared" si="14"/>
        <v>26010.5</v>
      </c>
      <c r="G89">
        <f t="shared" si="15"/>
        <v>-7.7363900003547315E-2</v>
      </c>
      <c r="I89">
        <f>+G89</f>
        <v>-7.7363900003547315E-2</v>
      </c>
      <c r="O89">
        <f t="shared" ca="1" si="16"/>
        <v>-8.5121806924355836E-2</v>
      </c>
      <c r="Q89" s="1">
        <f t="shared" si="17"/>
        <v>42134.970999999998</v>
      </c>
      <c r="R89" s="69" t="s">
        <v>305</v>
      </c>
    </row>
    <row r="90" spans="1:18" x14ac:dyDescent="0.2">
      <c r="A90" s="39" t="s">
        <v>0</v>
      </c>
      <c r="B90" s="40" t="s">
        <v>33</v>
      </c>
      <c r="C90" s="41">
        <v>57895.453500000003</v>
      </c>
      <c r="D90" s="41">
        <v>2.9999999999999997E-4</v>
      </c>
      <c r="E90">
        <f t="shared" si="13"/>
        <v>26754.419819755865</v>
      </c>
      <c r="F90">
        <f t="shared" si="14"/>
        <v>26754.5</v>
      </c>
      <c r="G90">
        <f t="shared" si="15"/>
        <v>-7.9963099997257814E-2</v>
      </c>
      <c r="K90">
        <f>+G90</f>
        <v>-7.9963099997257814E-2</v>
      </c>
      <c r="O90">
        <f t="shared" ca="1" si="16"/>
        <v>-8.7272630201135681E-2</v>
      </c>
      <c r="Q90" s="1">
        <f t="shared" si="17"/>
        <v>42876.953500000003</v>
      </c>
      <c r="R90" s="69"/>
    </row>
    <row r="91" spans="1:18" x14ac:dyDescent="0.2">
      <c r="A91" s="30"/>
      <c r="B91" s="32"/>
      <c r="C91" s="31"/>
      <c r="D91" s="5"/>
      <c r="Q91" s="1"/>
    </row>
    <row r="92" spans="1:18" x14ac:dyDescent="0.2">
      <c r="A92" s="30"/>
      <c r="B92" s="32"/>
      <c r="C92" s="31"/>
      <c r="D92" s="5"/>
      <c r="Q92" s="1"/>
    </row>
    <row r="93" spans="1:18" x14ac:dyDescent="0.2">
      <c r="A93" s="30"/>
      <c r="B93" s="32"/>
      <c r="C93" s="31"/>
      <c r="D93" s="5"/>
      <c r="Q93" s="1"/>
    </row>
    <row r="94" spans="1:18" x14ac:dyDescent="0.2">
      <c r="A94" s="30"/>
      <c r="B94" s="32"/>
      <c r="C94" s="31"/>
      <c r="D94" s="5"/>
      <c r="Q94" s="1"/>
    </row>
    <row r="95" spans="1:18" x14ac:dyDescent="0.2">
      <c r="A95" s="30"/>
      <c r="B95" s="32"/>
      <c r="C95" s="31"/>
      <c r="D95" s="5"/>
      <c r="Q95" s="1"/>
    </row>
    <row r="96" spans="1:18" x14ac:dyDescent="0.2">
      <c r="A96" s="30"/>
      <c r="B96" s="32"/>
      <c r="C96" s="31"/>
      <c r="D96" s="5"/>
      <c r="Q96" s="1"/>
    </row>
    <row r="97" spans="1:17" x14ac:dyDescent="0.2">
      <c r="A97" s="30"/>
      <c r="B97" s="32"/>
      <c r="C97" s="31"/>
      <c r="D97" s="5"/>
      <c r="Q97" s="1"/>
    </row>
    <row r="98" spans="1:17" x14ac:dyDescent="0.2">
      <c r="A98" s="30"/>
      <c r="B98" s="32"/>
      <c r="C98" s="31"/>
      <c r="D98" s="5"/>
      <c r="Q98" s="1"/>
    </row>
    <row r="99" spans="1:17" x14ac:dyDescent="0.2">
      <c r="A99" s="30"/>
      <c r="B99" s="32"/>
      <c r="C99" s="31"/>
      <c r="D99" s="5"/>
      <c r="Q99" s="1"/>
    </row>
    <row r="100" spans="1:17" x14ac:dyDescent="0.2">
      <c r="A100" s="30"/>
      <c r="B100" s="32"/>
      <c r="C100" s="31"/>
      <c r="D100" s="5"/>
      <c r="Q100" s="1"/>
    </row>
    <row r="101" spans="1:17" x14ac:dyDescent="0.2">
      <c r="A101" s="30"/>
      <c r="B101" s="32"/>
      <c r="C101" s="31"/>
      <c r="D101" s="5"/>
      <c r="Q101" s="1"/>
    </row>
    <row r="102" spans="1:17" x14ac:dyDescent="0.2">
      <c r="A102" s="30"/>
      <c r="B102" s="32"/>
      <c r="C102" s="31"/>
      <c r="D102" s="5"/>
      <c r="Q102" s="1"/>
    </row>
    <row r="103" spans="1:17" x14ac:dyDescent="0.2">
      <c r="B103" s="2"/>
      <c r="C103" s="5"/>
      <c r="D103" s="5"/>
      <c r="Q103" s="1"/>
    </row>
    <row r="104" spans="1:17" x14ac:dyDescent="0.2">
      <c r="B104" s="2"/>
      <c r="C104" s="5"/>
      <c r="D104" s="5"/>
      <c r="Q104" s="1"/>
    </row>
    <row r="105" spans="1:17" x14ac:dyDescent="0.2">
      <c r="B105" s="2"/>
      <c r="C105" s="5"/>
      <c r="D105" s="5"/>
      <c r="Q105" s="1"/>
    </row>
    <row r="106" spans="1:17" x14ac:dyDescent="0.2">
      <c r="B106" s="2"/>
      <c r="C106" s="5"/>
      <c r="D106" s="5"/>
      <c r="Q106" s="1"/>
    </row>
    <row r="107" spans="1:17" x14ac:dyDescent="0.2">
      <c r="B107" s="2"/>
      <c r="C107" s="5"/>
      <c r="D107" s="5"/>
      <c r="Q107" s="1"/>
    </row>
    <row r="108" spans="1:17" x14ac:dyDescent="0.2">
      <c r="B108" s="2"/>
      <c r="C108" s="5"/>
      <c r="D108" s="5"/>
      <c r="Q108" s="1"/>
    </row>
    <row r="109" spans="1:17" x14ac:dyDescent="0.2">
      <c r="B109" s="2"/>
      <c r="C109" s="5"/>
      <c r="D109" s="5"/>
      <c r="Q109" s="1"/>
    </row>
    <row r="110" spans="1:17" x14ac:dyDescent="0.2">
      <c r="B110" s="2"/>
      <c r="C110" s="5"/>
      <c r="D110" s="5"/>
      <c r="Q110" s="1"/>
    </row>
    <row r="111" spans="1:17" x14ac:dyDescent="0.2">
      <c r="B111" s="2"/>
      <c r="C111" s="5"/>
      <c r="D111" s="5"/>
      <c r="Q111" s="1"/>
    </row>
    <row r="112" spans="1:17" x14ac:dyDescent="0.2">
      <c r="B112" s="2"/>
      <c r="C112" s="5"/>
      <c r="D112" s="5"/>
      <c r="Q112" s="1"/>
    </row>
    <row r="113" spans="2:17" x14ac:dyDescent="0.2">
      <c r="B113" s="2"/>
      <c r="C113" s="5"/>
      <c r="D113" s="5"/>
      <c r="Q113" s="1"/>
    </row>
    <row r="114" spans="2:17" x14ac:dyDescent="0.2">
      <c r="B114" s="2"/>
      <c r="C114" s="5"/>
      <c r="D114" s="5"/>
      <c r="Q114" s="1"/>
    </row>
    <row r="115" spans="2:17" x14ac:dyDescent="0.2">
      <c r="C115" s="5"/>
      <c r="D115" s="5"/>
      <c r="Q115" s="1"/>
    </row>
    <row r="116" spans="2:17" x14ac:dyDescent="0.2">
      <c r="C116" s="5"/>
      <c r="D116" s="5"/>
      <c r="Q116" s="1"/>
    </row>
    <row r="117" spans="2:17" x14ac:dyDescent="0.2">
      <c r="C117" s="5"/>
      <c r="D117" s="5"/>
      <c r="Q117" s="1"/>
    </row>
    <row r="118" spans="2:17" x14ac:dyDescent="0.2">
      <c r="C118" s="5"/>
      <c r="D118" s="5"/>
      <c r="Q118" s="1"/>
    </row>
    <row r="119" spans="2:17" x14ac:dyDescent="0.2">
      <c r="C119" s="5"/>
      <c r="D119" s="5"/>
      <c r="Q119" s="1"/>
    </row>
    <row r="120" spans="2:17" x14ac:dyDescent="0.2">
      <c r="C120" s="5"/>
      <c r="D120" s="5"/>
      <c r="Q120" s="1"/>
    </row>
    <row r="121" spans="2:17" x14ac:dyDescent="0.2">
      <c r="C121" s="5"/>
      <c r="D121" s="5"/>
      <c r="Q121" s="1"/>
    </row>
    <row r="122" spans="2:17" x14ac:dyDescent="0.2">
      <c r="C122" s="5"/>
      <c r="D122" s="5"/>
      <c r="Q122" s="1"/>
    </row>
    <row r="123" spans="2:17" x14ac:dyDescent="0.2">
      <c r="C123" s="5"/>
      <c r="D123" s="5"/>
      <c r="Q123" s="1"/>
    </row>
    <row r="124" spans="2:17" x14ac:dyDescent="0.2">
      <c r="C124" s="5"/>
      <c r="D124" s="5"/>
      <c r="Q124" s="1"/>
    </row>
    <row r="125" spans="2:17" x14ac:dyDescent="0.2">
      <c r="C125" s="5"/>
      <c r="D125" s="5"/>
      <c r="Q125" s="1"/>
    </row>
    <row r="126" spans="2:17" x14ac:dyDescent="0.2">
      <c r="C126" s="5"/>
      <c r="D126" s="5"/>
      <c r="Q126" s="1"/>
    </row>
    <row r="127" spans="2:17" x14ac:dyDescent="0.2">
      <c r="C127" s="5"/>
      <c r="D127" s="5"/>
      <c r="Q127" s="1"/>
    </row>
    <row r="128" spans="2:17" x14ac:dyDescent="0.2">
      <c r="C128" s="5"/>
      <c r="D128" s="5"/>
      <c r="Q128" s="1"/>
    </row>
    <row r="129" spans="3:17" x14ac:dyDescent="0.2">
      <c r="C129" s="5"/>
      <c r="D129" s="5"/>
      <c r="Q129" s="1"/>
    </row>
    <row r="130" spans="3:17" x14ac:dyDescent="0.2">
      <c r="C130" s="5"/>
      <c r="D130" s="5"/>
      <c r="Q130" s="1"/>
    </row>
    <row r="131" spans="3:17" x14ac:dyDescent="0.2">
      <c r="C131" s="5"/>
      <c r="D131" s="5"/>
      <c r="Q131" s="1"/>
    </row>
    <row r="132" spans="3:17" x14ac:dyDescent="0.2">
      <c r="Q132" s="1"/>
    </row>
    <row r="133" spans="3:17" x14ac:dyDescent="0.2">
      <c r="Q133" s="1"/>
    </row>
    <row r="134" spans="3:17" x14ac:dyDescent="0.2">
      <c r="Q134" s="1"/>
    </row>
    <row r="135" spans="3:17" x14ac:dyDescent="0.2">
      <c r="Q135" s="1"/>
    </row>
    <row r="136" spans="3:17" x14ac:dyDescent="0.2">
      <c r="Q136" s="1"/>
    </row>
    <row r="137" spans="3:17" x14ac:dyDescent="0.2">
      <c r="Q137" s="1"/>
    </row>
    <row r="138" spans="3:17" x14ac:dyDescent="0.2">
      <c r="Q138" s="1"/>
    </row>
    <row r="139" spans="3:17" x14ac:dyDescent="0.2">
      <c r="Q139" s="1"/>
    </row>
    <row r="140" spans="3:17" x14ac:dyDescent="0.2">
      <c r="Q140" s="1"/>
    </row>
    <row r="141" spans="3:17" x14ac:dyDescent="0.2">
      <c r="Q141" s="1"/>
    </row>
    <row r="142" spans="3:17" x14ac:dyDescent="0.2">
      <c r="Q142" s="1"/>
    </row>
    <row r="143" spans="3:17" x14ac:dyDescent="0.2">
      <c r="Q143" s="1"/>
    </row>
    <row r="144" spans="3:17" x14ac:dyDescent="0.2">
      <c r="Q144" s="1"/>
    </row>
    <row r="145" spans="17:17" x14ac:dyDescent="0.2">
      <c r="Q145" s="1"/>
    </row>
    <row r="146" spans="17:17" x14ac:dyDescent="0.2">
      <c r="Q146" s="1"/>
    </row>
    <row r="147" spans="17:17" x14ac:dyDescent="0.2">
      <c r="Q147" s="1"/>
    </row>
    <row r="148" spans="17:17" x14ac:dyDescent="0.2">
      <c r="Q148" s="1"/>
    </row>
    <row r="149" spans="17:17" x14ac:dyDescent="0.2">
      <c r="Q149" s="1"/>
    </row>
    <row r="150" spans="17:17" x14ac:dyDescent="0.2">
      <c r="Q150" s="1"/>
    </row>
    <row r="151" spans="17:17" x14ac:dyDescent="0.2">
      <c r="Q151" s="1"/>
    </row>
    <row r="152" spans="17:17" x14ac:dyDescent="0.2">
      <c r="Q152" s="1"/>
    </row>
    <row r="153" spans="17:17" x14ac:dyDescent="0.2">
      <c r="Q153" s="1"/>
    </row>
    <row r="154" spans="17:17" x14ac:dyDescent="0.2">
      <c r="Q154" s="1"/>
    </row>
    <row r="155" spans="17:17" x14ac:dyDescent="0.2">
      <c r="Q155" s="1"/>
    </row>
    <row r="156" spans="17:17" x14ac:dyDescent="0.2">
      <c r="Q156" s="1"/>
    </row>
    <row r="157" spans="17:17" x14ac:dyDescent="0.2">
      <c r="Q157" s="1"/>
    </row>
    <row r="158" spans="17:17" x14ac:dyDescent="0.2">
      <c r="Q158" s="1"/>
    </row>
    <row r="159" spans="17:17" x14ac:dyDescent="0.2">
      <c r="Q159" s="1"/>
    </row>
    <row r="160" spans="17:17" x14ac:dyDescent="0.2">
      <c r="Q160" s="1"/>
    </row>
    <row r="161" spans="17:17" x14ac:dyDescent="0.2">
      <c r="Q161" s="1"/>
    </row>
    <row r="162" spans="17:17" x14ac:dyDescent="0.2">
      <c r="Q162" s="1"/>
    </row>
    <row r="163" spans="17:17" x14ac:dyDescent="0.2">
      <c r="Q163" s="1"/>
    </row>
    <row r="164" spans="17:17" x14ac:dyDescent="0.2">
      <c r="Q164" s="1"/>
    </row>
    <row r="165" spans="17:17" x14ac:dyDescent="0.2">
      <c r="Q165" s="1"/>
    </row>
    <row r="166" spans="17:17" x14ac:dyDescent="0.2">
      <c r="Q166" s="1"/>
    </row>
    <row r="167" spans="17:17" x14ac:dyDescent="0.2">
      <c r="Q167" s="1"/>
    </row>
    <row r="168" spans="17:17" x14ac:dyDescent="0.2">
      <c r="Q168" s="1"/>
    </row>
    <row r="169" spans="17:17" x14ac:dyDescent="0.2">
      <c r="Q169" s="1"/>
    </row>
    <row r="170" spans="17:17" x14ac:dyDescent="0.2">
      <c r="Q170" s="1"/>
    </row>
    <row r="171" spans="17:17" x14ac:dyDescent="0.2">
      <c r="Q171" s="1"/>
    </row>
    <row r="172" spans="17:17" x14ac:dyDescent="0.2">
      <c r="Q172" s="1"/>
    </row>
    <row r="173" spans="17:17" x14ac:dyDescent="0.2">
      <c r="Q173" s="1"/>
    </row>
    <row r="174" spans="17:17" x14ac:dyDescent="0.2">
      <c r="Q174" s="1"/>
    </row>
    <row r="175" spans="17:17" x14ac:dyDescent="0.2">
      <c r="Q175" s="1"/>
    </row>
    <row r="176" spans="17:17" x14ac:dyDescent="0.2">
      <c r="Q176" s="1"/>
    </row>
    <row r="177" spans="17:17" x14ac:dyDescent="0.2">
      <c r="Q177" s="1"/>
    </row>
    <row r="178" spans="17:17" x14ac:dyDescent="0.2">
      <c r="Q178" s="1"/>
    </row>
    <row r="179" spans="17:17" x14ac:dyDescent="0.2">
      <c r="Q179" s="1"/>
    </row>
    <row r="180" spans="17:17" x14ac:dyDescent="0.2">
      <c r="Q180" s="1"/>
    </row>
    <row r="181" spans="17:17" x14ac:dyDescent="0.2">
      <c r="Q181" s="1"/>
    </row>
    <row r="182" spans="17:17" x14ac:dyDescent="0.2">
      <c r="Q182" s="1"/>
    </row>
    <row r="183" spans="17:17" x14ac:dyDescent="0.2">
      <c r="Q183" s="1"/>
    </row>
    <row r="184" spans="17:17" x14ac:dyDescent="0.2">
      <c r="Q184" s="1"/>
    </row>
    <row r="185" spans="17:17" x14ac:dyDescent="0.2">
      <c r="Q185" s="1"/>
    </row>
    <row r="186" spans="17:17" x14ac:dyDescent="0.2">
      <c r="Q186" s="1"/>
    </row>
    <row r="187" spans="17:17" x14ac:dyDescent="0.2">
      <c r="Q187" s="1"/>
    </row>
    <row r="188" spans="17:17" x14ac:dyDescent="0.2">
      <c r="Q188" s="1"/>
    </row>
    <row r="189" spans="17:17" x14ac:dyDescent="0.2">
      <c r="Q189" s="1"/>
    </row>
    <row r="190" spans="17:17" x14ac:dyDescent="0.2">
      <c r="Q190" s="1"/>
    </row>
    <row r="191" spans="17:17" x14ac:dyDescent="0.2">
      <c r="Q191" s="1"/>
    </row>
    <row r="192" spans="17:17" x14ac:dyDescent="0.2">
      <c r="Q192" s="1"/>
    </row>
    <row r="193" spans="17:17" x14ac:dyDescent="0.2">
      <c r="Q193" s="1"/>
    </row>
    <row r="194" spans="17:17" x14ac:dyDescent="0.2">
      <c r="Q194" s="1"/>
    </row>
    <row r="195" spans="17:17" x14ac:dyDescent="0.2">
      <c r="Q195" s="1"/>
    </row>
    <row r="196" spans="17:17" x14ac:dyDescent="0.2">
      <c r="Q196" s="1"/>
    </row>
    <row r="197" spans="17:17" x14ac:dyDescent="0.2">
      <c r="Q197" s="1"/>
    </row>
    <row r="198" spans="17:17" x14ac:dyDescent="0.2">
      <c r="Q198" s="1"/>
    </row>
    <row r="199" spans="17:17" x14ac:dyDescent="0.2">
      <c r="Q199" s="1"/>
    </row>
    <row r="200" spans="17:17" x14ac:dyDescent="0.2">
      <c r="Q200" s="1"/>
    </row>
    <row r="201" spans="17:17" x14ac:dyDescent="0.2">
      <c r="Q201" s="1"/>
    </row>
    <row r="202" spans="17:17" x14ac:dyDescent="0.2">
      <c r="Q202" s="1"/>
    </row>
    <row r="203" spans="17:17" x14ac:dyDescent="0.2">
      <c r="Q203" s="1"/>
    </row>
    <row r="204" spans="17:17" x14ac:dyDescent="0.2">
      <c r="Q204" s="1"/>
    </row>
    <row r="205" spans="17:17" x14ac:dyDescent="0.2">
      <c r="Q205" s="1"/>
    </row>
    <row r="206" spans="17:17" x14ac:dyDescent="0.2">
      <c r="Q206" s="1"/>
    </row>
    <row r="207" spans="17:17" x14ac:dyDescent="0.2">
      <c r="Q207" s="1"/>
    </row>
    <row r="208" spans="17:17" x14ac:dyDescent="0.2">
      <c r="Q208" s="1"/>
    </row>
    <row r="209" spans="17:17" x14ac:dyDescent="0.2">
      <c r="Q209" s="1"/>
    </row>
    <row r="210" spans="17:17" x14ac:dyDescent="0.2">
      <c r="Q210" s="1"/>
    </row>
    <row r="211" spans="17:17" x14ac:dyDescent="0.2">
      <c r="Q211" s="1"/>
    </row>
    <row r="212" spans="17:17" x14ac:dyDescent="0.2">
      <c r="Q212" s="1"/>
    </row>
    <row r="213" spans="17:17" x14ac:dyDescent="0.2">
      <c r="Q213" s="1"/>
    </row>
    <row r="214" spans="17:17" x14ac:dyDescent="0.2">
      <c r="Q214" s="1"/>
    </row>
    <row r="215" spans="17:17" x14ac:dyDescent="0.2">
      <c r="Q215" s="1"/>
    </row>
    <row r="216" spans="17:17" x14ac:dyDescent="0.2">
      <c r="Q216" s="1"/>
    </row>
    <row r="217" spans="17:17" x14ac:dyDescent="0.2">
      <c r="Q217" s="1"/>
    </row>
    <row r="218" spans="17:17" x14ac:dyDescent="0.2">
      <c r="Q218" s="1"/>
    </row>
    <row r="219" spans="17:17" x14ac:dyDescent="0.2">
      <c r="Q219" s="1"/>
    </row>
    <row r="220" spans="17:17" x14ac:dyDescent="0.2">
      <c r="Q220" s="1"/>
    </row>
    <row r="221" spans="17:17" x14ac:dyDescent="0.2">
      <c r="Q221" s="1"/>
    </row>
    <row r="222" spans="17:17" x14ac:dyDescent="0.2">
      <c r="Q222" s="1"/>
    </row>
    <row r="223" spans="17:17" x14ac:dyDescent="0.2">
      <c r="Q223" s="1"/>
    </row>
    <row r="224" spans="17:17" x14ac:dyDescent="0.2">
      <c r="Q224" s="1"/>
    </row>
    <row r="225" spans="17:17" x14ac:dyDescent="0.2">
      <c r="Q225" s="1"/>
    </row>
    <row r="226" spans="17:17" x14ac:dyDescent="0.2">
      <c r="Q226" s="1"/>
    </row>
    <row r="227" spans="17:17" x14ac:dyDescent="0.2">
      <c r="Q227" s="1"/>
    </row>
    <row r="228" spans="17:17" x14ac:dyDescent="0.2">
      <c r="Q228" s="1"/>
    </row>
    <row r="229" spans="17:17" x14ac:dyDescent="0.2">
      <c r="Q229" s="1"/>
    </row>
    <row r="230" spans="17:17" x14ac:dyDescent="0.2">
      <c r="Q230" s="1"/>
    </row>
    <row r="231" spans="17:17" x14ac:dyDescent="0.2">
      <c r="Q231" s="1"/>
    </row>
    <row r="232" spans="17:17" x14ac:dyDescent="0.2">
      <c r="Q232" s="1"/>
    </row>
    <row r="233" spans="17:17" x14ac:dyDescent="0.2">
      <c r="Q233" s="1"/>
    </row>
    <row r="234" spans="17:17" x14ac:dyDescent="0.2">
      <c r="Q234" s="1"/>
    </row>
  </sheetData>
  <phoneticPr fontId="7" type="noConversion"/>
  <hyperlinks>
    <hyperlink ref="H63058" r:id="rId1" display="http://vsolj.cetus-net.org/bulletin.html"/>
    <hyperlink ref="H63051" r:id="rId2" display="https://www.aavso.org/ejaavso"/>
    <hyperlink ref="I63058" r:id="rId3" display="http://vsolj.cetus-net.org/bulletin.html"/>
    <hyperlink ref="AQ56709" r:id="rId4" display="http://cdsbib.u-strasbg.fr/cgi-bin/cdsbib?1990RMxAA..21..381G"/>
    <hyperlink ref="H63055" r:id="rId5" display="https://www.aavso.org/ejaavso"/>
    <hyperlink ref="AP4073" r:id="rId6" display="http://cdsbib.u-strasbg.fr/cgi-bin/cdsbib?1990RMxAA..21..381G"/>
    <hyperlink ref="AP4076" r:id="rId7" display="http://cdsbib.u-strasbg.fr/cgi-bin/cdsbib?1990RMxAA..21..381G"/>
    <hyperlink ref="AP4074" r:id="rId8" display="http://cdsbib.u-strasbg.fr/cgi-bin/cdsbib?1990RMxAA..21..381G"/>
    <hyperlink ref="AP4058" r:id="rId9" display="http://cdsbib.u-strasbg.fr/cgi-bin/cdsbib?1990RMxAA..21..381G"/>
    <hyperlink ref="AQ4287" r:id="rId10" display="http://cdsbib.u-strasbg.fr/cgi-bin/cdsbib?1990RMxAA..21..381G"/>
    <hyperlink ref="AQ4291" r:id="rId11" display="http://cdsbib.u-strasbg.fr/cgi-bin/cdsbib?1990RMxAA..21..381G"/>
    <hyperlink ref="AQ63971" r:id="rId12" display="http://cdsbib.u-strasbg.fr/cgi-bin/cdsbib?1990RMxAA..21..381G"/>
    <hyperlink ref="I1179" r:id="rId13" display="http://vsolj.cetus-net.org/bulletin.html"/>
    <hyperlink ref="H1179" r:id="rId14" display="http://vsolj.cetus-net.org/bulletin.html"/>
    <hyperlink ref="AQ64632" r:id="rId15" display="http://cdsbib.u-strasbg.fr/cgi-bin/cdsbib?1990RMxAA..21..381G"/>
    <hyperlink ref="AQ64631" r:id="rId16" display="http://cdsbib.u-strasbg.fr/cgi-bin/cdsbib?1990RMxAA..21..381G"/>
    <hyperlink ref="AP2349" r:id="rId17" display="http://cdsbib.u-strasbg.fr/cgi-bin/cdsbib?1990RMxAA..21..381G"/>
    <hyperlink ref="AP2367" r:id="rId18" display="http://cdsbib.u-strasbg.fr/cgi-bin/cdsbib?1990RMxAA..21..381G"/>
    <hyperlink ref="AP2368" r:id="rId19" display="http://cdsbib.u-strasbg.fr/cgi-bin/cdsbib?1990RMxAA..21..381G"/>
    <hyperlink ref="AP236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5"/>
  <sheetViews>
    <sheetView topLeftCell="A42" workbookViewId="0">
      <selection activeCell="A29" sqref="A29:C90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7" t="s">
        <v>61</v>
      </c>
      <c r="I1" s="18" t="s">
        <v>62</v>
      </c>
      <c r="J1" s="19" t="s">
        <v>63</v>
      </c>
    </row>
    <row r="2" spans="1:16" x14ac:dyDescent="0.2">
      <c r="I2" s="20" t="s">
        <v>64</v>
      </c>
      <c r="J2" s="21" t="s">
        <v>65</v>
      </c>
    </row>
    <row r="3" spans="1:16" x14ac:dyDescent="0.2">
      <c r="A3" s="22" t="s">
        <v>66</v>
      </c>
      <c r="I3" s="20" t="s">
        <v>67</v>
      </c>
      <c r="J3" s="21" t="s">
        <v>68</v>
      </c>
    </row>
    <row r="4" spans="1:16" x14ac:dyDescent="0.2">
      <c r="I4" s="20" t="s">
        <v>69</v>
      </c>
      <c r="J4" s="21" t="s">
        <v>68</v>
      </c>
    </row>
    <row r="5" spans="1:16" ht="13.5" thickBot="1" x14ac:dyDescent="0.25">
      <c r="I5" s="23" t="s">
        <v>70</v>
      </c>
      <c r="J5" s="24" t="s">
        <v>71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BBS 115 </v>
      </c>
      <c r="B11" s="2" t="str">
        <f t="shared" ref="B11:B42" si="1">IF(H11=INT(H11),"I","II")</f>
        <v>II</v>
      </c>
      <c r="C11" s="5">
        <f t="shared" ref="C11:C42" si="2">1*G11</f>
        <v>50515.5</v>
      </c>
      <c r="D11" s="4" t="str">
        <f t="shared" ref="D11:D42" si="3">VLOOKUP(F11,I$1:J$5,2,FALSE)</f>
        <v>vis</v>
      </c>
      <c r="E11" s="25">
        <f>VLOOKUP(C11,Active!C$21:E$967,3,FALSE)</f>
        <v>19354.42565556039</v>
      </c>
      <c r="F11" s="2" t="s">
        <v>70</v>
      </c>
      <c r="G11" s="4" t="str">
        <f t="shared" ref="G11:G42" si="4">MID(I11,3,LEN(I11)-3)</f>
        <v>50515.500</v>
      </c>
      <c r="H11" s="5">
        <f t="shared" ref="H11:H42" si="5">1*K11</f>
        <v>19354.5</v>
      </c>
      <c r="I11" s="26" t="s">
        <v>176</v>
      </c>
      <c r="J11" s="27" t="s">
        <v>177</v>
      </c>
      <c r="K11" s="26">
        <v>19354.5</v>
      </c>
      <c r="L11" s="26" t="s">
        <v>178</v>
      </c>
      <c r="M11" s="27" t="s">
        <v>179</v>
      </c>
      <c r="N11" s="27" t="s">
        <v>180</v>
      </c>
      <c r="O11" s="28" t="s">
        <v>181</v>
      </c>
      <c r="P11" s="28" t="s">
        <v>182</v>
      </c>
    </row>
    <row r="12" spans="1:16" ht="12.75" customHeight="1" thickBot="1" x14ac:dyDescent="0.25">
      <c r="A12" s="5" t="str">
        <f t="shared" si="0"/>
        <v>IBVS 4888 </v>
      </c>
      <c r="B12" s="2" t="str">
        <f t="shared" si="1"/>
        <v>II</v>
      </c>
      <c r="C12" s="5">
        <f t="shared" si="2"/>
        <v>50849.600400000003</v>
      </c>
      <c r="D12" s="4" t="str">
        <f t="shared" si="3"/>
        <v>vis</v>
      </c>
      <c r="E12" s="25">
        <f>VLOOKUP(C12,Active!C$21:E$967,3,FALSE)</f>
        <v>19689.433323326233</v>
      </c>
      <c r="F12" s="2" t="s">
        <v>70</v>
      </c>
      <c r="G12" s="4" t="str">
        <f t="shared" si="4"/>
        <v>50849.6004</v>
      </c>
      <c r="H12" s="5">
        <f t="shared" si="5"/>
        <v>19689.5</v>
      </c>
      <c r="I12" s="26" t="s">
        <v>183</v>
      </c>
      <c r="J12" s="27" t="s">
        <v>184</v>
      </c>
      <c r="K12" s="26">
        <v>19689.5</v>
      </c>
      <c r="L12" s="26" t="s">
        <v>185</v>
      </c>
      <c r="M12" s="27" t="s">
        <v>179</v>
      </c>
      <c r="N12" s="27" t="s">
        <v>180</v>
      </c>
      <c r="O12" s="28" t="s">
        <v>186</v>
      </c>
      <c r="P12" s="29" t="s">
        <v>187</v>
      </c>
    </row>
    <row r="13" spans="1:16" ht="12.75" customHeight="1" thickBot="1" x14ac:dyDescent="0.25">
      <c r="A13" s="5" t="str">
        <f t="shared" si="0"/>
        <v>IBVS 4888 </v>
      </c>
      <c r="B13" s="2" t="str">
        <f t="shared" si="1"/>
        <v>II</v>
      </c>
      <c r="C13" s="5">
        <f t="shared" si="2"/>
        <v>50921.400900000001</v>
      </c>
      <c r="D13" s="4" t="str">
        <f t="shared" si="3"/>
        <v>vis</v>
      </c>
      <c r="E13" s="25">
        <f>VLOOKUP(C13,Active!C$21:E$967,3,FALSE)</f>
        <v>19761.428801480168</v>
      </c>
      <c r="F13" s="2" t="s">
        <v>70</v>
      </c>
      <c r="G13" s="4" t="str">
        <f t="shared" si="4"/>
        <v>50921.4009</v>
      </c>
      <c r="H13" s="5">
        <f t="shared" si="5"/>
        <v>19761.5</v>
      </c>
      <c r="I13" s="26" t="s">
        <v>188</v>
      </c>
      <c r="J13" s="27" t="s">
        <v>189</v>
      </c>
      <c r="K13" s="26">
        <v>19761.5</v>
      </c>
      <c r="L13" s="26" t="s">
        <v>190</v>
      </c>
      <c r="M13" s="27" t="s">
        <v>179</v>
      </c>
      <c r="N13" s="27" t="s">
        <v>180</v>
      </c>
      <c r="O13" s="28" t="s">
        <v>191</v>
      </c>
      <c r="P13" s="29" t="s">
        <v>187</v>
      </c>
    </row>
    <row r="14" spans="1:16" ht="12.75" customHeight="1" thickBot="1" x14ac:dyDescent="0.25">
      <c r="A14" s="5" t="str">
        <f t="shared" si="0"/>
        <v>IBVS 4888 </v>
      </c>
      <c r="B14" s="2" t="str">
        <f t="shared" si="1"/>
        <v>II</v>
      </c>
      <c r="C14" s="5">
        <f t="shared" si="2"/>
        <v>50927.384400000003</v>
      </c>
      <c r="D14" s="4" t="str">
        <f t="shared" si="3"/>
        <v>vis</v>
      </c>
      <c r="E14" s="25">
        <f>VLOOKUP(C14,Active!C$21:E$967,3,FALSE)</f>
        <v>19767.428549999109</v>
      </c>
      <c r="F14" s="2" t="s">
        <v>70</v>
      </c>
      <c r="G14" s="4" t="str">
        <f t="shared" si="4"/>
        <v>50927.3844</v>
      </c>
      <c r="H14" s="5">
        <f t="shared" si="5"/>
        <v>19767.5</v>
      </c>
      <c r="I14" s="26" t="s">
        <v>192</v>
      </c>
      <c r="J14" s="27" t="s">
        <v>193</v>
      </c>
      <c r="K14" s="26">
        <v>19767.5</v>
      </c>
      <c r="L14" s="26" t="s">
        <v>194</v>
      </c>
      <c r="M14" s="27" t="s">
        <v>179</v>
      </c>
      <c r="N14" s="27" t="s">
        <v>180</v>
      </c>
      <c r="O14" s="28" t="s">
        <v>186</v>
      </c>
      <c r="P14" s="29" t="s">
        <v>187</v>
      </c>
    </row>
    <row r="15" spans="1:16" ht="12.75" customHeight="1" thickBot="1" x14ac:dyDescent="0.25">
      <c r="A15" s="5" t="str">
        <f t="shared" si="0"/>
        <v>IBVS 5263 </v>
      </c>
      <c r="B15" s="2" t="str">
        <f t="shared" si="1"/>
        <v>II</v>
      </c>
      <c r="C15" s="5">
        <f t="shared" si="2"/>
        <v>51270.452599999997</v>
      </c>
      <c r="D15" s="4" t="str">
        <f t="shared" si="3"/>
        <v>vis</v>
      </c>
      <c r="E15" s="25">
        <f>VLOOKUP(C15,Active!C$21:E$967,3,FALSE)</f>
        <v>20111.428370312475</v>
      </c>
      <c r="F15" s="2" t="s">
        <v>70</v>
      </c>
      <c r="G15" s="4" t="str">
        <f t="shared" si="4"/>
        <v>51270.4526</v>
      </c>
      <c r="H15" s="5">
        <f t="shared" si="5"/>
        <v>20111.5</v>
      </c>
      <c r="I15" s="26" t="s">
        <v>199</v>
      </c>
      <c r="J15" s="27" t="s">
        <v>200</v>
      </c>
      <c r="K15" s="26">
        <v>20111.5</v>
      </c>
      <c r="L15" s="26" t="s">
        <v>201</v>
      </c>
      <c r="M15" s="27" t="s">
        <v>179</v>
      </c>
      <c r="N15" s="27" t="s">
        <v>180</v>
      </c>
      <c r="O15" s="28" t="s">
        <v>186</v>
      </c>
      <c r="P15" s="29" t="s">
        <v>202</v>
      </c>
    </row>
    <row r="16" spans="1:16" ht="12.75" customHeight="1" thickBot="1" x14ac:dyDescent="0.25">
      <c r="A16" s="5" t="str">
        <f t="shared" si="0"/>
        <v>OEJV 0074 </v>
      </c>
      <c r="B16" s="2" t="str">
        <f t="shared" si="1"/>
        <v>II</v>
      </c>
      <c r="C16" s="5">
        <f t="shared" si="2"/>
        <v>51649.421970000003</v>
      </c>
      <c r="D16" s="4" t="str">
        <f t="shared" si="3"/>
        <v>vis</v>
      </c>
      <c r="E16" s="25">
        <f>VLOOKUP(C16,Active!C$21:E$967,3,FALSE)</f>
        <v>20491.426852201133</v>
      </c>
      <c r="F16" s="2" t="s">
        <v>70</v>
      </c>
      <c r="G16" s="4" t="str">
        <f t="shared" si="4"/>
        <v>51649.42197</v>
      </c>
      <c r="H16" s="5">
        <f t="shared" si="5"/>
        <v>20491.5</v>
      </c>
      <c r="I16" s="26" t="s">
        <v>206</v>
      </c>
      <c r="J16" s="27" t="s">
        <v>207</v>
      </c>
      <c r="K16" s="26">
        <v>20491.5</v>
      </c>
      <c r="L16" s="26" t="s">
        <v>208</v>
      </c>
      <c r="M16" s="27" t="s">
        <v>209</v>
      </c>
      <c r="N16" s="27" t="s">
        <v>210</v>
      </c>
      <c r="O16" s="28" t="s">
        <v>211</v>
      </c>
      <c r="P16" s="29" t="s">
        <v>212</v>
      </c>
    </row>
    <row r="17" spans="1:16" ht="12.75" customHeight="1" thickBot="1" x14ac:dyDescent="0.25">
      <c r="A17" s="5" t="str">
        <f t="shared" si="0"/>
        <v>OEJV 0074 </v>
      </c>
      <c r="B17" s="2" t="str">
        <f t="shared" si="1"/>
        <v>II</v>
      </c>
      <c r="C17" s="5">
        <f t="shared" si="2"/>
        <v>52321.595930000003</v>
      </c>
      <c r="D17" s="4" t="str">
        <f t="shared" si="3"/>
        <v>vis</v>
      </c>
      <c r="E17" s="25">
        <f>VLOOKUP(C17,Active!C$21:E$967,3,FALSE)</f>
        <v>21165.426137064402</v>
      </c>
      <c r="F17" s="2" t="s">
        <v>70</v>
      </c>
      <c r="G17" s="4" t="str">
        <f t="shared" si="4"/>
        <v>52321.59593</v>
      </c>
      <c r="H17" s="5">
        <f t="shared" si="5"/>
        <v>21165.5</v>
      </c>
      <c r="I17" s="26" t="s">
        <v>223</v>
      </c>
      <c r="J17" s="27" t="s">
        <v>224</v>
      </c>
      <c r="K17" s="26">
        <v>21165.5</v>
      </c>
      <c r="L17" s="26" t="s">
        <v>225</v>
      </c>
      <c r="M17" s="27" t="s">
        <v>209</v>
      </c>
      <c r="N17" s="27" t="s">
        <v>62</v>
      </c>
      <c r="O17" s="28" t="s">
        <v>211</v>
      </c>
      <c r="P17" s="29" t="s">
        <v>212</v>
      </c>
    </row>
    <row r="18" spans="1:16" ht="12.75" customHeight="1" thickBot="1" x14ac:dyDescent="0.25">
      <c r="A18" s="5" t="str">
        <f t="shared" si="0"/>
        <v> BBS 130 </v>
      </c>
      <c r="B18" s="2" t="str">
        <f t="shared" si="1"/>
        <v>II</v>
      </c>
      <c r="C18" s="5">
        <f t="shared" si="2"/>
        <v>53050.610999999997</v>
      </c>
      <c r="D18" s="4" t="str">
        <f t="shared" si="3"/>
        <v>vis</v>
      </c>
      <c r="E18" s="25">
        <f>VLOOKUP(C18,Active!C$21:E$967,3,FALSE)</f>
        <v>21896.420887046297</v>
      </c>
      <c r="F18" s="2" t="s">
        <v>70</v>
      </c>
      <c r="G18" s="4" t="str">
        <f t="shared" si="4"/>
        <v>53050.611</v>
      </c>
      <c r="H18" s="5">
        <f t="shared" si="5"/>
        <v>21896.5</v>
      </c>
      <c r="I18" s="26" t="s">
        <v>233</v>
      </c>
      <c r="J18" s="27" t="s">
        <v>234</v>
      </c>
      <c r="K18" s="26">
        <v>21896.5</v>
      </c>
      <c r="L18" s="26" t="s">
        <v>228</v>
      </c>
      <c r="M18" s="27" t="s">
        <v>179</v>
      </c>
      <c r="N18" s="27" t="s">
        <v>180</v>
      </c>
      <c r="O18" s="28" t="s">
        <v>181</v>
      </c>
      <c r="P18" s="28" t="s">
        <v>235</v>
      </c>
    </row>
    <row r="19" spans="1:16" ht="12.75" customHeight="1" thickBot="1" x14ac:dyDescent="0.25">
      <c r="A19" s="5" t="str">
        <f t="shared" si="0"/>
        <v>IBVS 5602 </v>
      </c>
      <c r="B19" s="2" t="str">
        <f t="shared" si="1"/>
        <v>I</v>
      </c>
      <c r="C19" s="5">
        <f t="shared" si="2"/>
        <v>53143.8626</v>
      </c>
      <c r="D19" s="4" t="str">
        <f t="shared" si="3"/>
        <v>vis</v>
      </c>
      <c r="E19" s="25">
        <f>VLOOKUP(C19,Active!C$21:E$967,3,FALSE)</f>
        <v>21989.92571682631</v>
      </c>
      <c r="F19" s="2" t="s">
        <v>70</v>
      </c>
      <c r="G19" s="4" t="str">
        <f t="shared" si="4"/>
        <v>53143.8626</v>
      </c>
      <c r="H19" s="5">
        <f t="shared" si="5"/>
        <v>21990</v>
      </c>
      <c r="I19" s="26" t="s">
        <v>236</v>
      </c>
      <c r="J19" s="27" t="s">
        <v>237</v>
      </c>
      <c r="K19" s="26">
        <v>21990</v>
      </c>
      <c r="L19" s="26" t="s">
        <v>238</v>
      </c>
      <c r="M19" s="27" t="s">
        <v>179</v>
      </c>
      <c r="N19" s="27" t="s">
        <v>180</v>
      </c>
      <c r="O19" s="28" t="s">
        <v>239</v>
      </c>
      <c r="P19" s="29" t="s">
        <v>240</v>
      </c>
    </row>
    <row r="20" spans="1:16" ht="12.75" customHeight="1" thickBot="1" x14ac:dyDescent="0.25">
      <c r="A20" s="5" t="str">
        <f t="shared" si="0"/>
        <v>IBVS 5653 </v>
      </c>
      <c r="B20" s="2" t="str">
        <f t="shared" si="1"/>
        <v>II</v>
      </c>
      <c r="C20" s="5">
        <f t="shared" si="2"/>
        <v>53447.53</v>
      </c>
      <c r="D20" s="4" t="str">
        <f t="shared" si="3"/>
        <v>vis</v>
      </c>
      <c r="E20" s="25">
        <f>VLOOKUP(C20,Active!C$21:E$967,3,FALSE)</f>
        <v>22294.417742129233</v>
      </c>
      <c r="F20" s="2" t="s">
        <v>70</v>
      </c>
      <c r="G20" s="4" t="str">
        <f t="shared" si="4"/>
        <v>53447.530</v>
      </c>
      <c r="H20" s="5">
        <f t="shared" si="5"/>
        <v>22294.5</v>
      </c>
      <c r="I20" s="26" t="s">
        <v>241</v>
      </c>
      <c r="J20" s="27" t="s">
        <v>242</v>
      </c>
      <c r="K20" s="26">
        <v>22294.5</v>
      </c>
      <c r="L20" s="26" t="s">
        <v>243</v>
      </c>
      <c r="M20" s="27" t="s">
        <v>179</v>
      </c>
      <c r="N20" s="27" t="s">
        <v>180</v>
      </c>
      <c r="O20" s="28" t="s">
        <v>181</v>
      </c>
      <c r="P20" s="29" t="s">
        <v>244</v>
      </c>
    </row>
    <row r="21" spans="1:16" ht="12.75" customHeight="1" thickBot="1" x14ac:dyDescent="0.25">
      <c r="A21" s="5" t="str">
        <f t="shared" si="0"/>
        <v>BAVM 173 </v>
      </c>
      <c r="B21" s="2" t="str">
        <f t="shared" si="1"/>
        <v>II</v>
      </c>
      <c r="C21" s="5">
        <f t="shared" si="2"/>
        <v>53492.413800000002</v>
      </c>
      <c r="D21" s="4" t="str">
        <f t="shared" si="3"/>
        <v>vis</v>
      </c>
      <c r="E21" s="25">
        <f>VLOOKUP(C21,Active!C$21:E$967,3,FALSE)</f>
        <v>22339.423426523714</v>
      </c>
      <c r="F21" s="2" t="s">
        <v>70</v>
      </c>
      <c r="G21" s="4" t="str">
        <f t="shared" si="4"/>
        <v>53492.4138</v>
      </c>
      <c r="H21" s="5">
        <f t="shared" si="5"/>
        <v>22339.5</v>
      </c>
      <c r="I21" s="26" t="s">
        <v>245</v>
      </c>
      <c r="J21" s="27" t="s">
        <v>246</v>
      </c>
      <c r="K21" s="26">
        <v>22339.5</v>
      </c>
      <c r="L21" s="26" t="s">
        <v>247</v>
      </c>
      <c r="M21" s="27" t="s">
        <v>179</v>
      </c>
      <c r="N21" s="27" t="s">
        <v>248</v>
      </c>
      <c r="O21" s="28" t="s">
        <v>249</v>
      </c>
      <c r="P21" s="29" t="s">
        <v>250</v>
      </c>
    </row>
    <row r="22" spans="1:16" ht="12.75" customHeight="1" thickBot="1" x14ac:dyDescent="0.25">
      <c r="A22" s="5" t="str">
        <f t="shared" si="0"/>
        <v>BAVM 173 </v>
      </c>
      <c r="B22" s="2" t="str">
        <f t="shared" si="1"/>
        <v>II</v>
      </c>
      <c r="C22" s="5">
        <f t="shared" si="2"/>
        <v>53503.385900000001</v>
      </c>
      <c r="D22" s="4" t="str">
        <f t="shared" si="3"/>
        <v>vis</v>
      </c>
      <c r="E22" s="25">
        <f>VLOOKUP(C22,Active!C$21:E$967,3,FALSE)</f>
        <v>22350.425321856652</v>
      </c>
      <c r="F22" s="2" t="s">
        <v>70</v>
      </c>
      <c r="G22" s="4" t="str">
        <f t="shared" si="4"/>
        <v>53503.3859</v>
      </c>
      <c r="H22" s="5">
        <f t="shared" si="5"/>
        <v>22350.5</v>
      </c>
      <c r="I22" s="26" t="s">
        <v>251</v>
      </c>
      <c r="J22" s="27" t="s">
        <v>252</v>
      </c>
      <c r="K22" s="26" t="s">
        <v>253</v>
      </c>
      <c r="L22" s="26" t="s">
        <v>254</v>
      </c>
      <c r="M22" s="27" t="s">
        <v>179</v>
      </c>
      <c r="N22" s="27" t="s">
        <v>248</v>
      </c>
      <c r="O22" s="28" t="s">
        <v>249</v>
      </c>
      <c r="P22" s="29" t="s">
        <v>250</v>
      </c>
    </row>
    <row r="23" spans="1:16" ht="12.75" customHeight="1" thickBot="1" x14ac:dyDescent="0.25">
      <c r="A23" s="5" t="str">
        <f t="shared" si="0"/>
        <v>BAVM 178 </v>
      </c>
      <c r="B23" s="2" t="str">
        <f t="shared" si="1"/>
        <v>II</v>
      </c>
      <c r="C23" s="5">
        <f t="shared" si="2"/>
        <v>53814.534899999999</v>
      </c>
      <c r="D23" s="4" t="str">
        <f t="shared" si="3"/>
        <v>vis</v>
      </c>
      <c r="E23" s="25">
        <f>VLOOKUP(C23,Active!C$21:E$967,3,FALSE)</f>
        <v>22662.419263850359</v>
      </c>
      <c r="F23" s="2" t="s">
        <v>70</v>
      </c>
      <c r="G23" s="4" t="str">
        <f t="shared" si="4"/>
        <v>53814.5349</v>
      </c>
      <c r="H23" s="5">
        <f t="shared" si="5"/>
        <v>22662.5</v>
      </c>
      <c r="I23" s="26" t="s">
        <v>255</v>
      </c>
      <c r="J23" s="27" t="s">
        <v>256</v>
      </c>
      <c r="K23" s="26" t="s">
        <v>257</v>
      </c>
      <c r="L23" s="26" t="s">
        <v>258</v>
      </c>
      <c r="M23" s="27" t="s">
        <v>209</v>
      </c>
      <c r="N23" s="27" t="s">
        <v>248</v>
      </c>
      <c r="O23" s="28" t="s">
        <v>249</v>
      </c>
      <c r="P23" s="29" t="s">
        <v>259</v>
      </c>
    </row>
    <row r="24" spans="1:16" ht="12.75" customHeight="1" thickBot="1" x14ac:dyDescent="0.25">
      <c r="A24" s="5" t="str">
        <f t="shared" si="0"/>
        <v>BAVM 186 </v>
      </c>
      <c r="B24" s="2" t="str">
        <f t="shared" si="1"/>
        <v>II</v>
      </c>
      <c r="C24" s="5">
        <f t="shared" si="2"/>
        <v>54207.472699999998</v>
      </c>
      <c r="D24" s="4" t="str">
        <f t="shared" si="3"/>
        <v>vis</v>
      </c>
      <c r="E24" s="25">
        <f>VLOOKUP(C24,Active!C$21:E$967,3,FALSE)</f>
        <v>23056.424107768657</v>
      </c>
      <c r="F24" s="2" t="s">
        <v>70</v>
      </c>
      <c r="G24" s="4" t="str">
        <f t="shared" si="4"/>
        <v>54207.4727</v>
      </c>
      <c r="H24" s="5">
        <f t="shared" si="5"/>
        <v>23056.5</v>
      </c>
      <c r="I24" s="26" t="s">
        <v>260</v>
      </c>
      <c r="J24" s="27" t="s">
        <v>261</v>
      </c>
      <c r="K24" s="26" t="s">
        <v>262</v>
      </c>
      <c r="L24" s="26" t="s">
        <v>263</v>
      </c>
      <c r="M24" s="27" t="s">
        <v>209</v>
      </c>
      <c r="N24" s="27" t="s">
        <v>248</v>
      </c>
      <c r="O24" s="28" t="s">
        <v>249</v>
      </c>
      <c r="P24" s="29" t="s">
        <v>264</v>
      </c>
    </row>
    <row r="25" spans="1:16" ht="12.75" customHeight="1" thickBot="1" x14ac:dyDescent="0.25">
      <c r="A25" s="5" t="str">
        <f t="shared" si="0"/>
        <v>OEJV 0142 </v>
      </c>
      <c r="B25" s="2" t="str">
        <f t="shared" si="1"/>
        <v>II</v>
      </c>
      <c r="C25" s="5">
        <f t="shared" si="2"/>
        <v>55593.707000000002</v>
      </c>
      <c r="D25" s="4" t="str">
        <f t="shared" si="3"/>
        <v>vis</v>
      </c>
      <c r="E25" s="25">
        <f>VLOOKUP(C25,Active!C$21:E$967,3,FALSE)</f>
        <v>24446.42280223301</v>
      </c>
      <c r="F25" s="2" t="s">
        <v>70</v>
      </c>
      <c r="G25" s="4" t="str">
        <f t="shared" si="4"/>
        <v>55593.707</v>
      </c>
      <c r="H25" s="5">
        <f t="shared" si="5"/>
        <v>24446.5</v>
      </c>
      <c r="I25" s="26" t="s">
        <v>285</v>
      </c>
      <c r="J25" s="27" t="s">
        <v>286</v>
      </c>
      <c r="K25" s="26" t="s">
        <v>287</v>
      </c>
      <c r="L25" s="26" t="s">
        <v>288</v>
      </c>
      <c r="M25" s="27" t="s">
        <v>209</v>
      </c>
      <c r="N25" s="27" t="s">
        <v>210</v>
      </c>
      <c r="O25" s="28" t="s">
        <v>181</v>
      </c>
      <c r="P25" s="29" t="s">
        <v>289</v>
      </c>
    </row>
    <row r="26" spans="1:16" ht="12.75" customHeight="1" thickBot="1" x14ac:dyDescent="0.25">
      <c r="A26" s="5" t="str">
        <f t="shared" si="0"/>
        <v>IBVS 5992 </v>
      </c>
      <c r="B26" s="2" t="str">
        <f t="shared" si="1"/>
        <v>I</v>
      </c>
      <c r="C26" s="5">
        <f t="shared" si="2"/>
        <v>55723.852299999999</v>
      </c>
      <c r="D26" s="4" t="str">
        <f t="shared" si="3"/>
        <v>vis</v>
      </c>
      <c r="E26" s="25">
        <f>VLOOKUP(C26,Active!C$21:E$967,3,FALSE)</f>
        <v>24576.921518857369</v>
      </c>
      <c r="F26" s="2" t="s">
        <v>70</v>
      </c>
      <c r="G26" s="4" t="str">
        <f t="shared" si="4"/>
        <v>55723.8523</v>
      </c>
      <c r="H26" s="5">
        <f t="shared" si="5"/>
        <v>24577</v>
      </c>
      <c r="I26" s="26" t="s">
        <v>290</v>
      </c>
      <c r="J26" s="27" t="s">
        <v>291</v>
      </c>
      <c r="K26" s="26" t="s">
        <v>292</v>
      </c>
      <c r="L26" s="26" t="s">
        <v>293</v>
      </c>
      <c r="M26" s="27" t="s">
        <v>209</v>
      </c>
      <c r="N26" s="27" t="s">
        <v>70</v>
      </c>
      <c r="O26" s="28" t="s">
        <v>221</v>
      </c>
      <c r="P26" s="29" t="s">
        <v>294</v>
      </c>
    </row>
    <row r="27" spans="1:16" ht="12.75" customHeight="1" thickBot="1" x14ac:dyDescent="0.25">
      <c r="A27" s="5" t="str">
        <f t="shared" si="0"/>
        <v>OEJV 0155 </v>
      </c>
      <c r="B27" s="2" t="str">
        <f t="shared" si="1"/>
        <v>II</v>
      </c>
      <c r="C27" s="5">
        <f t="shared" si="2"/>
        <v>56015.56</v>
      </c>
      <c r="D27" s="4" t="str">
        <f t="shared" si="3"/>
        <v>vis</v>
      </c>
      <c r="E27" s="25">
        <f>VLOOKUP(C27,Active!C$21:E$967,3,FALSE)</f>
        <v>24869.42136694596</v>
      </c>
      <c r="F27" s="2" t="s">
        <v>70</v>
      </c>
      <c r="G27" s="4" t="str">
        <f t="shared" si="4"/>
        <v>56015.5600</v>
      </c>
      <c r="H27" s="5">
        <f t="shared" si="5"/>
        <v>24869.5</v>
      </c>
      <c r="I27" s="26" t="s">
        <v>295</v>
      </c>
      <c r="J27" s="27" t="s">
        <v>296</v>
      </c>
      <c r="K27" s="26" t="s">
        <v>297</v>
      </c>
      <c r="L27" s="26" t="s">
        <v>298</v>
      </c>
      <c r="M27" s="27" t="s">
        <v>209</v>
      </c>
      <c r="N27" s="27" t="s">
        <v>299</v>
      </c>
      <c r="O27" s="28" t="s">
        <v>181</v>
      </c>
      <c r="P27" s="29" t="s">
        <v>300</v>
      </c>
    </row>
    <row r="28" spans="1:16" ht="12.75" customHeight="1" thickBot="1" x14ac:dyDescent="0.25">
      <c r="A28" s="5" t="str">
        <f t="shared" si="0"/>
        <v>OEJV 0172 </v>
      </c>
      <c r="B28" s="2" t="str">
        <f t="shared" si="1"/>
        <v>II</v>
      </c>
      <c r="C28" s="5">
        <f t="shared" si="2"/>
        <v>57153.470999999998</v>
      </c>
      <c r="D28" s="4" t="str">
        <f t="shared" si="3"/>
        <v>vis</v>
      </c>
      <c r="E28" s="25">
        <f>VLOOKUP(C28,Active!C$21:E$967,3,FALSE)</f>
        <v>26010.422426014127</v>
      </c>
      <c r="F28" s="2" t="s">
        <v>70</v>
      </c>
      <c r="G28" s="4" t="str">
        <f t="shared" si="4"/>
        <v>57153.471</v>
      </c>
      <c r="H28" s="5">
        <f t="shared" si="5"/>
        <v>26010.5</v>
      </c>
      <c r="I28" s="26" t="s">
        <v>301</v>
      </c>
      <c r="J28" s="27" t="s">
        <v>302</v>
      </c>
      <c r="K28" s="26" t="s">
        <v>303</v>
      </c>
      <c r="L28" s="26" t="s">
        <v>288</v>
      </c>
      <c r="M28" s="27" t="s">
        <v>209</v>
      </c>
      <c r="N28" s="27" t="s">
        <v>210</v>
      </c>
      <c r="O28" s="28" t="s">
        <v>181</v>
      </c>
      <c r="P28" s="29" t="s">
        <v>304</v>
      </c>
    </row>
    <row r="29" spans="1:16" ht="12.75" customHeight="1" thickBot="1" x14ac:dyDescent="0.25">
      <c r="A29" s="5" t="str">
        <f t="shared" si="0"/>
        <v> PZ 20.331 </v>
      </c>
      <c r="B29" s="2" t="str">
        <f t="shared" si="1"/>
        <v>I</v>
      </c>
      <c r="C29" s="5">
        <f t="shared" si="2"/>
        <v>25361.315999999999</v>
      </c>
      <c r="D29" s="4" t="str">
        <f t="shared" si="3"/>
        <v>vis</v>
      </c>
      <c r="E29" s="25">
        <f>VLOOKUP(C29,Active!C$21:E$967,3,FALSE)</f>
        <v>-5868.065896059712</v>
      </c>
      <c r="F29" s="2" t="s">
        <v>70</v>
      </c>
      <c r="G29" s="4" t="str">
        <f t="shared" si="4"/>
        <v>25361.316</v>
      </c>
      <c r="H29" s="5">
        <f t="shared" si="5"/>
        <v>-5868</v>
      </c>
      <c r="I29" s="26" t="s">
        <v>72</v>
      </c>
      <c r="J29" s="27" t="s">
        <v>73</v>
      </c>
      <c r="K29" s="26">
        <v>-5868</v>
      </c>
      <c r="L29" s="26" t="s">
        <v>74</v>
      </c>
      <c r="M29" s="27" t="s">
        <v>75</v>
      </c>
      <c r="N29" s="27"/>
      <c r="O29" s="28" t="s">
        <v>76</v>
      </c>
      <c r="P29" s="28" t="s">
        <v>77</v>
      </c>
    </row>
    <row r="30" spans="1:16" ht="12.75" customHeight="1" thickBot="1" x14ac:dyDescent="0.25">
      <c r="A30" s="5" t="str">
        <f t="shared" si="0"/>
        <v> PZ 20.331 </v>
      </c>
      <c r="B30" s="2" t="str">
        <f t="shared" si="1"/>
        <v>I</v>
      </c>
      <c r="C30" s="5">
        <f t="shared" si="2"/>
        <v>25378.337</v>
      </c>
      <c r="D30" s="4" t="str">
        <f t="shared" si="3"/>
        <v>vis</v>
      </c>
      <c r="E30" s="25">
        <f>VLOOKUP(C30,Active!C$21:E$967,3,FALSE)</f>
        <v>-5850.9986746105824</v>
      </c>
      <c r="F30" s="2" t="s">
        <v>70</v>
      </c>
      <c r="G30" s="4" t="str">
        <f t="shared" si="4"/>
        <v>25378.337</v>
      </c>
      <c r="H30" s="5">
        <f t="shared" si="5"/>
        <v>-5851</v>
      </c>
      <c r="I30" s="26" t="s">
        <v>78</v>
      </c>
      <c r="J30" s="27" t="s">
        <v>79</v>
      </c>
      <c r="K30" s="26">
        <v>-5851</v>
      </c>
      <c r="L30" s="26" t="s">
        <v>80</v>
      </c>
      <c r="M30" s="27" t="s">
        <v>75</v>
      </c>
      <c r="N30" s="27"/>
      <c r="O30" s="28" t="s">
        <v>76</v>
      </c>
      <c r="P30" s="28" t="s">
        <v>77</v>
      </c>
    </row>
    <row r="31" spans="1:16" ht="12.75" customHeight="1" thickBot="1" x14ac:dyDescent="0.25">
      <c r="A31" s="5" t="str">
        <f t="shared" si="0"/>
        <v> PZ 20.331 </v>
      </c>
      <c r="B31" s="2" t="str">
        <f t="shared" si="1"/>
        <v>I</v>
      </c>
      <c r="C31" s="5">
        <f t="shared" si="2"/>
        <v>25389.306</v>
      </c>
      <c r="D31" s="4" t="str">
        <f t="shared" si="3"/>
        <v>vis</v>
      </c>
      <c r="E31" s="25">
        <f>VLOOKUP(C31,Active!C$21:E$967,3,FALSE)</f>
        <v>-5839.9998876958589</v>
      </c>
      <c r="F31" s="2" t="s">
        <v>70</v>
      </c>
      <c r="G31" s="4" t="str">
        <f t="shared" si="4"/>
        <v>25389.306</v>
      </c>
      <c r="H31" s="5">
        <f t="shared" si="5"/>
        <v>-5840</v>
      </c>
      <c r="I31" s="26" t="s">
        <v>81</v>
      </c>
      <c r="J31" s="27" t="s">
        <v>82</v>
      </c>
      <c r="K31" s="26">
        <v>-5840</v>
      </c>
      <c r="L31" s="26" t="s">
        <v>83</v>
      </c>
      <c r="M31" s="27" t="s">
        <v>75</v>
      </c>
      <c r="N31" s="27"/>
      <c r="O31" s="28" t="s">
        <v>76</v>
      </c>
      <c r="P31" s="28" t="s">
        <v>77</v>
      </c>
    </row>
    <row r="32" spans="1:16" ht="12.75" customHeight="1" thickBot="1" x14ac:dyDescent="0.25">
      <c r="A32" s="5" t="str">
        <f t="shared" si="0"/>
        <v> PZ 20.331 </v>
      </c>
      <c r="B32" s="2" t="str">
        <f t="shared" si="1"/>
        <v>I</v>
      </c>
      <c r="C32" s="5">
        <f t="shared" si="2"/>
        <v>25391.306</v>
      </c>
      <c r="D32" s="4" t="str">
        <f t="shared" si="3"/>
        <v>vis</v>
      </c>
      <c r="E32" s="25">
        <f>VLOOKUP(C32,Active!C$21:E$967,3,FALSE)</f>
        <v>-5837.9944565873311</v>
      </c>
      <c r="F32" s="2" t="s">
        <v>70</v>
      </c>
      <c r="G32" s="4" t="str">
        <f t="shared" si="4"/>
        <v>25391.306</v>
      </c>
      <c r="H32" s="5">
        <f t="shared" si="5"/>
        <v>-5838</v>
      </c>
      <c r="I32" s="26" t="s">
        <v>84</v>
      </c>
      <c r="J32" s="27" t="s">
        <v>85</v>
      </c>
      <c r="K32" s="26">
        <v>-5838</v>
      </c>
      <c r="L32" s="26" t="s">
        <v>86</v>
      </c>
      <c r="M32" s="27" t="s">
        <v>75</v>
      </c>
      <c r="N32" s="27"/>
      <c r="O32" s="28" t="s">
        <v>76</v>
      </c>
      <c r="P32" s="28" t="s">
        <v>77</v>
      </c>
    </row>
    <row r="33" spans="1:16" ht="12.75" customHeight="1" thickBot="1" x14ac:dyDescent="0.25">
      <c r="A33" s="5" t="str">
        <f t="shared" si="0"/>
        <v> PZ 20.331 </v>
      </c>
      <c r="B33" s="2" t="str">
        <f t="shared" si="1"/>
        <v>I</v>
      </c>
      <c r="C33" s="5">
        <f t="shared" si="2"/>
        <v>27580.359</v>
      </c>
      <c r="D33" s="4" t="str">
        <f t="shared" si="3"/>
        <v>vis</v>
      </c>
      <c r="E33" s="25">
        <f>VLOOKUP(C33,Active!C$21:E$967,3,FALSE)</f>
        <v>-3642.9969643789323</v>
      </c>
      <c r="F33" s="2" t="s">
        <v>70</v>
      </c>
      <c r="G33" s="4" t="str">
        <f t="shared" si="4"/>
        <v>27580.359</v>
      </c>
      <c r="H33" s="5">
        <f t="shared" si="5"/>
        <v>-3643</v>
      </c>
      <c r="I33" s="26" t="s">
        <v>87</v>
      </c>
      <c r="J33" s="27" t="s">
        <v>88</v>
      </c>
      <c r="K33" s="26">
        <v>-3643</v>
      </c>
      <c r="L33" s="26" t="s">
        <v>89</v>
      </c>
      <c r="M33" s="27" t="s">
        <v>75</v>
      </c>
      <c r="N33" s="27"/>
      <c r="O33" s="28" t="s">
        <v>76</v>
      </c>
      <c r="P33" s="28" t="s">
        <v>77</v>
      </c>
    </row>
    <row r="34" spans="1:16" ht="12.75" customHeight="1" thickBot="1" x14ac:dyDescent="0.25">
      <c r="A34" s="5" t="str">
        <f t="shared" si="0"/>
        <v> PZ 20.331 </v>
      </c>
      <c r="B34" s="2" t="str">
        <f t="shared" si="1"/>
        <v>I</v>
      </c>
      <c r="C34" s="5">
        <f t="shared" si="2"/>
        <v>28654.434000000001</v>
      </c>
      <c r="D34" s="4" t="str">
        <f t="shared" si="3"/>
        <v>vis</v>
      </c>
      <c r="E34" s="25">
        <f>VLOOKUP(C34,Active!C$21:E$967,3,FALSE)</f>
        <v>-2566.0052554327635</v>
      </c>
      <c r="F34" s="2" t="s">
        <v>70</v>
      </c>
      <c r="G34" s="4" t="str">
        <f t="shared" si="4"/>
        <v>28654.434</v>
      </c>
      <c r="H34" s="5">
        <f t="shared" si="5"/>
        <v>-2566</v>
      </c>
      <c r="I34" s="26" t="s">
        <v>90</v>
      </c>
      <c r="J34" s="27" t="s">
        <v>91</v>
      </c>
      <c r="K34" s="26">
        <v>-2566</v>
      </c>
      <c r="L34" s="26" t="s">
        <v>92</v>
      </c>
      <c r="M34" s="27" t="s">
        <v>75</v>
      </c>
      <c r="N34" s="27"/>
      <c r="O34" s="28" t="s">
        <v>76</v>
      </c>
      <c r="P34" s="28" t="s">
        <v>77</v>
      </c>
    </row>
    <row r="35" spans="1:16" ht="12.75" customHeight="1" thickBot="1" x14ac:dyDescent="0.25">
      <c r="A35" s="5" t="str">
        <f t="shared" si="0"/>
        <v> PZ 20.331 </v>
      </c>
      <c r="B35" s="2" t="str">
        <f t="shared" si="1"/>
        <v>I</v>
      </c>
      <c r="C35" s="5">
        <f t="shared" si="2"/>
        <v>28655.448</v>
      </c>
      <c r="D35" s="4" t="str">
        <f t="shared" si="3"/>
        <v>vis</v>
      </c>
      <c r="E35" s="25">
        <f>VLOOKUP(C35,Active!C$21:E$967,3,FALSE)</f>
        <v>-2564.9885018607406</v>
      </c>
      <c r="F35" s="2" t="s">
        <v>70</v>
      </c>
      <c r="G35" s="4" t="str">
        <f t="shared" si="4"/>
        <v>28655.448</v>
      </c>
      <c r="H35" s="5">
        <f t="shared" si="5"/>
        <v>-2565</v>
      </c>
      <c r="I35" s="26" t="s">
        <v>93</v>
      </c>
      <c r="J35" s="27" t="s">
        <v>94</v>
      </c>
      <c r="K35" s="26">
        <v>-2565</v>
      </c>
      <c r="L35" s="26" t="s">
        <v>95</v>
      </c>
      <c r="M35" s="27" t="s">
        <v>75</v>
      </c>
      <c r="N35" s="27"/>
      <c r="O35" s="28" t="s">
        <v>76</v>
      </c>
      <c r="P35" s="28" t="s">
        <v>77</v>
      </c>
    </row>
    <row r="36" spans="1:16" ht="12.75" customHeight="1" thickBot="1" x14ac:dyDescent="0.25">
      <c r="A36" s="5" t="str">
        <f t="shared" si="0"/>
        <v> PZ 20.331 </v>
      </c>
      <c r="B36" s="2" t="str">
        <f t="shared" si="1"/>
        <v>I</v>
      </c>
      <c r="C36" s="5">
        <f t="shared" si="2"/>
        <v>28656.393</v>
      </c>
      <c r="D36" s="4" t="str">
        <f t="shared" si="3"/>
        <v>vis</v>
      </c>
      <c r="E36" s="25">
        <f>VLOOKUP(C36,Active!C$21:E$967,3,FALSE)</f>
        <v>-2564.0409356619616</v>
      </c>
      <c r="F36" s="2" t="s">
        <v>70</v>
      </c>
      <c r="G36" s="4" t="str">
        <f t="shared" si="4"/>
        <v>28656.393</v>
      </c>
      <c r="H36" s="5">
        <f t="shared" si="5"/>
        <v>-2564</v>
      </c>
      <c r="I36" s="26" t="s">
        <v>96</v>
      </c>
      <c r="J36" s="27" t="s">
        <v>97</v>
      </c>
      <c r="K36" s="26">
        <v>-2564</v>
      </c>
      <c r="L36" s="26" t="s">
        <v>98</v>
      </c>
      <c r="M36" s="27" t="s">
        <v>75</v>
      </c>
      <c r="N36" s="27"/>
      <c r="O36" s="28" t="s">
        <v>76</v>
      </c>
      <c r="P36" s="28" t="s">
        <v>77</v>
      </c>
    </row>
    <row r="37" spans="1:16" ht="12.75" customHeight="1" thickBot="1" x14ac:dyDescent="0.25">
      <c r="A37" s="5" t="str">
        <f t="shared" si="0"/>
        <v> PZ 20.331 </v>
      </c>
      <c r="B37" s="2" t="str">
        <f t="shared" si="1"/>
        <v>I</v>
      </c>
      <c r="C37" s="5">
        <f t="shared" si="2"/>
        <v>28665.417000000001</v>
      </c>
      <c r="D37" s="4" t="str">
        <f t="shared" si="3"/>
        <v>vis</v>
      </c>
      <c r="E37" s="25">
        <f>VLOOKUP(C37,Active!C$21:E$967,3,FALSE)</f>
        <v>-2554.9924305002814</v>
      </c>
      <c r="F37" s="2" t="s">
        <v>70</v>
      </c>
      <c r="G37" s="4" t="str">
        <f t="shared" si="4"/>
        <v>28665.417</v>
      </c>
      <c r="H37" s="5">
        <f t="shared" si="5"/>
        <v>-2555</v>
      </c>
      <c r="I37" s="26" t="s">
        <v>99</v>
      </c>
      <c r="J37" s="27" t="s">
        <v>100</v>
      </c>
      <c r="K37" s="26">
        <v>-2555</v>
      </c>
      <c r="L37" s="26" t="s">
        <v>101</v>
      </c>
      <c r="M37" s="27" t="s">
        <v>75</v>
      </c>
      <c r="N37" s="27"/>
      <c r="O37" s="28" t="s">
        <v>76</v>
      </c>
      <c r="P37" s="28" t="s">
        <v>77</v>
      </c>
    </row>
    <row r="38" spans="1:16" ht="12.75" customHeight="1" thickBot="1" x14ac:dyDescent="0.25">
      <c r="A38" s="5" t="str">
        <f t="shared" si="0"/>
        <v> PZ 20.331 </v>
      </c>
      <c r="B38" s="2" t="str">
        <f t="shared" si="1"/>
        <v>I</v>
      </c>
      <c r="C38" s="5">
        <f t="shared" si="2"/>
        <v>29335.584999999999</v>
      </c>
      <c r="D38" s="4" t="str">
        <f t="shared" si="3"/>
        <v>vis</v>
      </c>
      <c r="E38" s="25">
        <f>VLOOKUP(C38,Active!C$21:E$967,3,FALSE)</f>
        <v>-1883.0045529302483</v>
      </c>
      <c r="F38" s="2" t="s">
        <v>70</v>
      </c>
      <c r="G38" s="4" t="str">
        <f t="shared" si="4"/>
        <v>29335.585</v>
      </c>
      <c r="H38" s="5">
        <f t="shared" si="5"/>
        <v>-1883</v>
      </c>
      <c r="I38" s="26" t="s">
        <v>102</v>
      </c>
      <c r="J38" s="27" t="s">
        <v>103</v>
      </c>
      <c r="K38" s="26">
        <v>-1883</v>
      </c>
      <c r="L38" s="26" t="s">
        <v>92</v>
      </c>
      <c r="M38" s="27" t="s">
        <v>75</v>
      </c>
      <c r="N38" s="27"/>
      <c r="O38" s="28" t="s">
        <v>76</v>
      </c>
      <c r="P38" s="28" t="s">
        <v>77</v>
      </c>
    </row>
    <row r="39" spans="1:16" ht="12.75" customHeight="1" thickBot="1" x14ac:dyDescent="0.25">
      <c r="A39" s="5" t="str">
        <f t="shared" si="0"/>
        <v> PZ 20.331 </v>
      </c>
      <c r="B39" s="2" t="str">
        <f t="shared" si="1"/>
        <v>I</v>
      </c>
      <c r="C39" s="5">
        <f t="shared" si="2"/>
        <v>29727.5</v>
      </c>
      <c r="D39" s="4" t="str">
        <f t="shared" si="3"/>
        <v>vis</v>
      </c>
      <c r="E39" s="25">
        <f>VLOOKUP(C39,Active!C$21:E$967,3,FALSE)</f>
        <v>-1490.0252864808492</v>
      </c>
      <c r="F39" s="2" t="s">
        <v>70</v>
      </c>
      <c r="G39" s="4" t="str">
        <f t="shared" si="4"/>
        <v>29727.500</v>
      </c>
      <c r="H39" s="5">
        <f t="shared" si="5"/>
        <v>-1490</v>
      </c>
      <c r="I39" s="26" t="s">
        <v>104</v>
      </c>
      <c r="J39" s="27" t="s">
        <v>105</v>
      </c>
      <c r="K39" s="26">
        <v>-1490</v>
      </c>
      <c r="L39" s="26" t="s">
        <v>106</v>
      </c>
      <c r="M39" s="27" t="s">
        <v>75</v>
      </c>
      <c r="N39" s="27"/>
      <c r="O39" s="28" t="s">
        <v>76</v>
      </c>
      <c r="P39" s="28" t="s">
        <v>77</v>
      </c>
    </row>
    <row r="40" spans="1:16" ht="12.75" customHeight="1" thickBot="1" x14ac:dyDescent="0.25">
      <c r="A40" s="5" t="str">
        <f t="shared" si="0"/>
        <v> PZ 20.331 </v>
      </c>
      <c r="B40" s="2" t="str">
        <f t="shared" si="1"/>
        <v>I</v>
      </c>
      <c r="C40" s="5">
        <f t="shared" si="2"/>
        <v>29746.474999999999</v>
      </c>
      <c r="D40" s="4" t="str">
        <f t="shared" si="3"/>
        <v>vis</v>
      </c>
      <c r="E40" s="25">
        <f>VLOOKUP(C40,Active!C$21:E$967,3,FALSE)</f>
        <v>-1470.99875883869</v>
      </c>
      <c r="F40" s="2" t="s">
        <v>70</v>
      </c>
      <c r="G40" s="4" t="str">
        <f t="shared" si="4"/>
        <v>29746.475</v>
      </c>
      <c r="H40" s="5">
        <f t="shared" si="5"/>
        <v>-1471</v>
      </c>
      <c r="I40" s="26" t="s">
        <v>107</v>
      </c>
      <c r="J40" s="27" t="s">
        <v>108</v>
      </c>
      <c r="K40" s="26">
        <v>-1471</v>
      </c>
      <c r="L40" s="26" t="s">
        <v>80</v>
      </c>
      <c r="M40" s="27" t="s">
        <v>75</v>
      </c>
      <c r="N40" s="27"/>
      <c r="O40" s="28" t="s">
        <v>76</v>
      </c>
      <c r="P40" s="28" t="s">
        <v>77</v>
      </c>
    </row>
    <row r="41" spans="1:16" ht="12.75" customHeight="1" thickBot="1" x14ac:dyDescent="0.25">
      <c r="A41" s="5" t="str">
        <f t="shared" si="0"/>
        <v> PZ 20.331 </v>
      </c>
      <c r="B41" s="2" t="str">
        <f t="shared" si="1"/>
        <v>I</v>
      </c>
      <c r="C41" s="5">
        <f t="shared" si="2"/>
        <v>30161.313999999998</v>
      </c>
      <c r="D41" s="4" t="str">
        <f t="shared" si="3"/>
        <v>vis</v>
      </c>
      <c r="E41" s="25">
        <f>VLOOKUP(C41,Active!C$21:E$967,3,FALSE)</f>
        <v>-1055.0332410233425</v>
      </c>
      <c r="F41" s="2" t="s">
        <v>70</v>
      </c>
      <c r="G41" s="4" t="str">
        <f t="shared" si="4"/>
        <v>30161.314</v>
      </c>
      <c r="H41" s="5">
        <f t="shared" si="5"/>
        <v>-1055</v>
      </c>
      <c r="I41" s="26" t="s">
        <v>109</v>
      </c>
      <c r="J41" s="27" t="s">
        <v>110</v>
      </c>
      <c r="K41" s="26">
        <v>-1055</v>
      </c>
      <c r="L41" s="26" t="s">
        <v>111</v>
      </c>
      <c r="M41" s="27" t="s">
        <v>75</v>
      </c>
      <c r="N41" s="27"/>
      <c r="O41" s="28" t="s">
        <v>76</v>
      </c>
      <c r="P41" s="28" t="s">
        <v>77</v>
      </c>
    </row>
    <row r="42" spans="1:16" ht="12.75" customHeight="1" thickBot="1" x14ac:dyDescent="0.25">
      <c r="A42" s="5" t="str">
        <f t="shared" si="0"/>
        <v> PZ 20.331 </v>
      </c>
      <c r="B42" s="2" t="str">
        <f t="shared" si="1"/>
        <v>I</v>
      </c>
      <c r="C42" s="5">
        <f t="shared" si="2"/>
        <v>30171.314999999999</v>
      </c>
      <c r="D42" s="4" t="str">
        <f t="shared" si="3"/>
        <v>vis</v>
      </c>
      <c r="E42" s="25">
        <f>VLOOKUP(C42,Active!C$21:E$967,3,FALSE)</f>
        <v>-1045.0050827651476</v>
      </c>
      <c r="F42" s="2" t="s">
        <v>70</v>
      </c>
      <c r="G42" s="4" t="str">
        <f t="shared" si="4"/>
        <v>30171.315</v>
      </c>
      <c r="H42" s="5">
        <f t="shared" si="5"/>
        <v>-1045</v>
      </c>
      <c r="I42" s="26" t="s">
        <v>112</v>
      </c>
      <c r="J42" s="27" t="s">
        <v>113</v>
      </c>
      <c r="K42" s="26">
        <v>-1045</v>
      </c>
      <c r="L42" s="26" t="s">
        <v>92</v>
      </c>
      <c r="M42" s="27" t="s">
        <v>75</v>
      </c>
      <c r="N42" s="27"/>
      <c r="O42" s="28" t="s">
        <v>76</v>
      </c>
      <c r="P42" s="28" t="s">
        <v>77</v>
      </c>
    </row>
    <row r="43" spans="1:16" ht="12.75" customHeight="1" thickBot="1" x14ac:dyDescent="0.25">
      <c r="A43" s="5" t="str">
        <f t="shared" ref="A43:A77" si="6">P43</f>
        <v> PZ 20.331 </v>
      </c>
      <c r="B43" s="2" t="str">
        <f t="shared" ref="B43:B77" si="7">IF(H43=INT(H43),"I","II")</f>
        <v>I</v>
      </c>
      <c r="C43" s="5">
        <f t="shared" ref="C43:C77" si="8">1*G43</f>
        <v>30933.236000000001</v>
      </c>
      <c r="D43" s="4" t="str">
        <f t="shared" ref="D43:D77" si="9">VLOOKUP(F43,I$1:J$5,2,FALSE)</f>
        <v>vis</v>
      </c>
      <c r="E43" s="25">
        <f>VLOOKUP(C43,Active!C$21:E$967,3,FALSE)</f>
        <v>-281.0150449447201</v>
      </c>
      <c r="F43" s="2" t="s">
        <v>70</v>
      </c>
      <c r="G43" s="4" t="str">
        <f t="shared" ref="G43:G77" si="10">MID(I43,3,LEN(I43)-3)</f>
        <v>30933.236</v>
      </c>
      <c r="H43" s="5">
        <f t="shared" ref="H43:H77" si="11">1*K43</f>
        <v>-281</v>
      </c>
      <c r="I43" s="26" t="s">
        <v>114</v>
      </c>
      <c r="J43" s="27" t="s">
        <v>115</v>
      </c>
      <c r="K43" s="26">
        <v>-281</v>
      </c>
      <c r="L43" s="26" t="s">
        <v>116</v>
      </c>
      <c r="M43" s="27" t="s">
        <v>75</v>
      </c>
      <c r="N43" s="27"/>
      <c r="O43" s="28" t="s">
        <v>76</v>
      </c>
      <c r="P43" s="28" t="s">
        <v>77</v>
      </c>
    </row>
    <row r="44" spans="1:16" ht="12.75" customHeight="1" thickBot="1" x14ac:dyDescent="0.25">
      <c r="A44" s="5" t="str">
        <f t="shared" si="6"/>
        <v> IODE 4.3.24 </v>
      </c>
      <c r="B44" s="2" t="str">
        <f t="shared" si="7"/>
        <v>I</v>
      </c>
      <c r="C44" s="5">
        <f t="shared" si="8"/>
        <v>31213.5</v>
      </c>
      <c r="D44" s="4" t="str">
        <f t="shared" si="9"/>
        <v>vis</v>
      </c>
      <c r="E44" s="25">
        <f>VLOOKUP(C44,Active!C$21:E$967,3,FALSE)</f>
        <v>1.0027155541035523E-2</v>
      </c>
      <c r="F44" s="2" t="s">
        <v>70</v>
      </c>
      <c r="G44" s="4" t="str">
        <f t="shared" si="10"/>
        <v>31213.50</v>
      </c>
      <c r="H44" s="5">
        <f t="shared" si="11"/>
        <v>0</v>
      </c>
      <c r="I44" s="26" t="s">
        <v>117</v>
      </c>
      <c r="J44" s="27" t="s">
        <v>118</v>
      </c>
      <c r="K44" s="26">
        <v>0</v>
      </c>
      <c r="L44" s="26" t="s">
        <v>119</v>
      </c>
      <c r="M44" s="27" t="s">
        <v>120</v>
      </c>
      <c r="N44" s="27"/>
      <c r="O44" s="28" t="s">
        <v>76</v>
      </c>
      <c r="P44" s="28" t="s">
        <v>121</v>
      </c>
    </row>
    <row r="45" spans="1:16" ht="12.75" customHeight="1" thickBot="1" x14ac:dyDescent="0.25">
      <c r="A45" s="5" t="str">
        <f t="shared" si="6"/>
        <v> IODE 4.3.24 </v>
      </c>
      <c r="B45" s="2" t="str">
        <f t="shared" si="7"/>
        <v>I</v>
      </c>
      <c r="C45" s="5">
        <f t="shared" si="8"/>
        <v>31230.44</v>
      </c>
      <c r="D45" s="4" t="str">
        <f t="shared" si="9"/>
        <v>vis</v>
      </c>
      <c r="E45" s="25">
        <f>VLOOKUP(C45,Active!C$21:E$967,3,FALSE)</f>
        <v>16.996028644772863</v>
      </c>
      <c r="F45" s="2" t="s">
        <v>70</v>
      </c>
      <c r="G45" s="4" t="str">
        <f t="shared" si="10"/>
        <v>31230.44</v>
      </c>
      <c r="H45" s="5">
        <f t="shared" si="11"/>
        <v>17</v>
      </c>
      <c r="I45" s="26" t="s">
        <v>122</v>
      </c>
      <c r="J45" s="27" t="s">
        <v>123</v>
      </c>
      <c r="K45" s="26">
        <v>17</v>
      </c>
      <c r="L45" s="26" t="s">
        <v>124</v>
      </c>
      <c r="M45" s="27" t="s">
        <v>120</v>
      </c>
      <c r="N45" s="27"/>
      <c r="O45" s="28" t="s">
        <v>76</v>
      </c>
      <c r="P45" s="28" t="s">
        <v>121</v>
      </c>
    </row>
    <row r="46" spans="1:16" ht="12.75" customHeight="1" thickBot="1" x14ac:dyDescent="0.25">
      <c r="A46" s="5" t="str">
        <f t="shared" si="6"/>
        <v> IODE 4.3.24 </v>
      </c>
      <c r="B46" s="2" t="str">
        <f t="shared" si="7"/>
        <v>I</v>
      </c>
      <c r="C46" s="5">
        <f t="shared" si="8"/>
        <v>31231.43</v>
      </c>
      <c r="D46" s="4" t="str">
        <f t="shared" si="9"/>
        <v>vis</v>
      </c>
      <c r="E46" s="25">
        <f>VLOOKUP(C46,Active!C$21:E$967,3,FALSE)</f>
        <v>17.988717043495885</v>
      </c>
      <c r="F46" s="2" t="s">
        <v>70</v>
      </c>
      <c r="G46" s="4" t="str">
        <f t="shared" si="10"/>
        <v>31231.43</v>
      </c>
      <c r="H46" s="5">
        <f t="shared" si="11"/>
        <v>18</v>
      </c>
      <c r="I46" s="26" t="s">
        <v>125</v>
      </c>
      <c r="J46" s="27" t="s">
        <v>126</v>
      </c>
      <c r="K46" s="26">
        <v>18</v>
      </c>
      <c r="L46" s="26" t="s">
        <v>127</v>
      </c>
      <c r="M46" s="27" t="s">
        <v>120</v>
      </c>
      <c r="N46" s="27"/>
      <c r="O46" s="28" t="s">
        <v>76</v>
      </c>
      <c r="P46" s="28" t="s">
        <v>121</v>
      </c>
    </row>
    <row r="47" spans="1:16" ht="12.75" customHeight="1" thickBot="1" x14ac:dyDescent="0.25">
      <c r="A47" s="5" t="str">
        <f t="shared" si="6"/>
        <v> IODE 4.3.24 </v>
      </c>
      <c r="B47" s="2" t="str">
        <f t="shared" si="7"/>
        <v>I</v>
      </c>
      <c r="C47" s="5">
        <f t="shared" si="8"/>
        <v>31233.45</v>
      </c>
      <c r="D47" s="4" t="str">
        <f t="shared" si="9"/>
        <v>vis</v>
      </c>
      <c r="E47" s="25">
        <f>VLOOKUP(C47,Active!C$21:E$967,3,FALSE)</f>
        <v>20.014202463109722</v>
      </c>
      <c r="F47" s="2" t="s">
        <v>70</v>
      </c>
      <c r="G47" s="4" t="str">
        <f t="shared" si="10"/>
        <v>31233.45</v>
      </c>
      <c r="H47" s="5">
        <f t="shared" si="11"/>
        <v>20</v>
      </c>
      <c r="I47" s="26" t="s">
        <v>128</v>
      </c>
      <c r="J47" s="27" t="s">
        <v>129</v>
      </c>
      <c r="K47" s="26">
        <v>20</v>
      </c>
      <c r="L47" s="26" t="s">
        <v>119</v>
      </c>
      <c r="M47" s="27" t="s">
        <v>120</v>
      </c>
      <c r="N47" s="27"/>
      <c r="O47" s="28" t="s">
        <v>76</v>
      </c>
      <c r="P47" s="28" t="s">
        <v>121</v>
      </c>
    </row>
    <row r="48" spans="1:16" ht="12.75" customHeight="1" thickBot="1" x14ac:dyDescent="0.25">
      <c r="A48" s="5" t="str">
        <f t="shared" si="6"/>
        <v> IODE 4.3.24 </v>
      </c>
      <c r="B48" s="2" t="str">
        <f t="shared" si="7"/>
        <v>I</v>
      </c>
      <c r="C48" s="5">
        <f t="shared" si="8"/>
        <v>31235.42</v>
      </c>
      <c r="D48" s="4" t="str">
        <f t="shared" si="9"/>
        <v>vis</v>
      </c>
      <c r="E48" s="25">
        <f>VLOOKUP(C48,Active!C$21:E$967,3,FALSE)</f>
        <v>21.989552105007434</v>
      </c>
      <c r="F48" s="2" t="s">
        <v>70</v>
      </c>
      <c r="G48" s="4" t="str">
        <f t="shared" si="10"/>
        <v>31235.42</v>
      </c>
      <c r="H48" s="5">
        <f t="shared" si="11"/>
        <v>22</v>
      </c>
      <c r="I48" s="26" t="s">
        <v>130</v>
      </c>
      <c r="J48" s="27" t="s">
        <v>131</v>
      </c>
      <c r="K48" s="26">
        <v>22</v>
      </c>
      <c r="L48" s="26" t="s">
        <v>127</v>
      </c>
      <c r="M48" s="27" t="s">
        <v>120</v>
      </c>
      <c r="N48" s="27"/>
      <c r="O48" s="28" t="s">
        <v>76</v>
      </c>
      <c r="P48" s="28" t="s">
        <v>121</v>
      </c>
    </row>
    <row r="49" spans="1:16" ht="12.75" customHeight="1" thickBot="1" x14ac:dyDescent="0.25">
      <c r="A49" s="5" t="str">
        <f t="shared" si="6"/>
        <v> IODE 4.3.24 </v>
      </c>
      <c r="B49" s="2" t="str">
        <f t="shared" si="7"/>
        <v>I</v>
      </c>
      <c r="C49" s="5">
        <f t="shared" si="8"/>
        <v>31253.38</v>
      </c>
      <c r="D49" s="4" t="str">
        <f t="shared" si="9"/>
        <v>vis</v>
      </c>
      <c r="E49" s="25">
        <f>VLOOKUP(C49,Active!C$21:E$967,3,FALSE)</f>
        <v>39.99832345959269</v>
      </c>
      <c r="F49" s="2" t="s">
        <v>70</v>
      </c>
      <c r="G49" s="4" t="str">
        <f t="shared" si="10"/>
        <v>31253.38</v>
      </c>
      <c r="H49" s="5">
        <f t="shared" si="11"/>
        <v>40</v>
      </c>
      <c r="I49" s="26" t="s">
        <v>132</v>
      </c>
      <c r="J49" s="27" t="s">
        <v>133</v>
      </c>
      <c r="K49" s="26">
        <v>40</v>
      </c>
      <c r="L49" s="26" t="s">
        <v>124</v>
      </c>
      <c r="M49" s="27" t="s">
        <v>120</v>
      </c>
      <c r="N49" s="27"/>
      <c r="O49" s="28" t="s">
        <v>76</v>
      </c>
      <c r="P49" s="28" t="s">
        <v>121</v>
      </c>
    </row>
    <row r="50" spans="1:16" ht="12.75" customHeight="1" thickBot="1" x14ac:dyDescent="0.25">
      <c r="A50" s="5" t="str">
        <f t="shared" si="6"/>
        <v> IODE 4.3.24 </v>
      </c>
      <c r="B50" s="2" t="str">
        <f t="shared" si="7"/>
        <v>I</v>
      </c>
      <c r="C50" s="5">
        <f t="shared" si="8"/>
        <v>31256.39</v>
      </c>
      <c r="D50" s="4" t="str">
        <f t="shared" si="9"/>
        <v>vis</v>
      </c>
      <c r="E50" s="25">
        <f>VLOOKUP(C50,Active!C$21:E$967,3,FALSE)</f>
        <v>43.0164972779259</v>
      </c>
      <c r="F50" s="2" t="s">
        <v>70</v>
      </c>
      <c r="G50" s="4" t="str">
        <f t="shared" si="10"/>
        <v>31256.39</v>
      </c>
      <c r="H50" s="5">
        <f t="shared" si="11"/>
        <v>43</v>
      </c>
      <c r="I50" s="26" t="s">
        <v>134</v>
      </c>
      <c r="J50" s="27" t="s">
        <v>135</v>
      </c>
      <c r="K50" s="26">
        <v>43</v>
      </c>
      <c r="L50" s="26" t="s">
        <v>136</v>
      </c>
      <c r="M50" s="27" t="s">
        <v>120</v>
      </c>
      <c r="N50" s="27"/>
      <c r="O50" s="28" t="s">
        <v>76</v>
      </c>
      <c r="P50" s="28" t="s">
        <v>121</v>
      </c>
    </row>
    <row r="51" spans="1:16" ht="12.75" customHeight="1" thickBot="1" x14ac:dyDescent="0.25">
      <c r="A51" s="5" t="str">
        <f t="shared" si="6"/>
        <v> IODE 4.3.24 </v>
      </c>
      <c r="B51" s="2" t="str">
        <f t="shared" si="7"/>
        <v>I</v>
      </c>
      <c r="C51" s="5">
        <f t="shared" si="8"/>
        <v>31259.35</v>
      </c>
      <c r="D51" s="4" t="str">
        <f t="shared" si="9"/>
        <v>vis</v>
      </c>
      <c r="E51" s="25">
        <f>VLOOKUP(C51,Active!C$21:E$967,3,FALSE)</f>
        <v>45.984535318546634</v>
      </c>
      <c r="F51" s="2" t="s">
        <v>70</v>
      </c>
      <c r="G51" s="4" t="str">
        <f t="shared" si="10"/>
        <v>31259.35</v>
      </c>
      <c r="H51" s="5">
        <f t="shared" si="11"/>
        <v>46</v>
      </c>
      <c r="I51" s="26" t="s">
        <v>137</v>
      </c>
      <c r="J51" s="27" t="s">
        <v>138</v>
      </c>
      <c r="K51" s="26">
        <v>46</v>
      </c>
      <c r="L51" s="26" t="s">
        <v>139</v>
      </c>
      <c r="M51" s="27" t="s">
        <v>120</v>
      </c>
      <c r="N51" s="27"/>
      <c r="O51" s="28" t="s">
        <v>76</v>
      </c>
      <c r="P51" s="28" t="s">
        <v>121</v>
      </c>
    </row>
    <row r="52" spans="1:16" ht="12.75" customHeight="1" thickBot="1" x14ac:dyDescent="0.25">
      <c r="A52" s="5" t="str">
        <f t="shared" si="6"/>
        <v> IODE 4.3.24 </v>
      </c>
      <c r="B52" s="2" t="str">
        <f t="shared" si="7"/>
        <v>I</v>
      </c>
      <c r="C52" s="5">
        <f t="shared" si="8"/>
        <v>31265.33</v>
      </c>
      <c r="D52" s="4" t="str">
        <f t="shared" si="9"/>
        <v>vis</v>
      </c>
      <c r="E52" s="25">
        <f>VLOOKUP(C52,Active!C$21:E$967,3,FALSE)</f>
        <v>51.980774333048913</v>
      </c>
      <c r="F52" s="2" t="s">
        <v>70</v>
      </c>
      <c r="G52" s="4" t="str">
        <f t="shared" si="10"/>
        <v>31265.33</v>
      </c>
      <c r="H52" s="5">
        <f t="shared" si="11"/>
        <v>52</v>
      </c>
      <c r="I52" s="26" t="s">
        <v>140</v>
      </c>
      <c r="J52" s="27" t="s">
        <v>141</v>
      </c>
      <c r="K52" s="26">
        <v>52</v>
      </c>
      <c r="L52" s="26" t="s">
        <v>139</v>
      </c>
      <c r="M52" s="27" t="s">
        <v>120</v>
      </c>
      <c r="N52" s="27"/>
      <c r="O52" s="28" t="s">
        <v>76</v>
      </c>
      <c r="P52" s="28" t="s">
        <v>121</v>
      </c>
    </row>
    <row r="53" spans="1:16" ht="12.75" customHeight="1" thickBot="1" x14ac:dyDescent="0.25">
      <c r="A53" s="5" t="str">
        <f t="shared" si="6"/>
        <v> IODE 4.3.24 </v>
      </c>
      <c r="B53" s="2" t="str">
        <f t="shared" si="7"/>
        <v>I</v>
      </c>
      <c r="C53" s="5">
        <f t="shared" si="8"/>
        <v>31266.33</v>
      </c>
      <c r="D53" s="4" t="str">
        <f t="shared" si="9"/>
        <v>vis</v>
      </c>
      <c r="E53" s="25">
        <f>VLOOKUP(C53,Active!C$21:E$967,3,FALSE)</f>
        <v>52.98348988731297</v>
      </c>
      <c r="F53" s="2" t="s">
        <v>70</v>
      </c>
      <c r="G53" s="4" t="str">
        <f t="shared" si="10"/>
        <v>31266.33</v>
      </c>
      <c r="H53" s="5">
        <f t="shared" si="11"/>
        <v>53</v>
      </c>
      <c r="I53" s="26" t="s">
        <v>142</v>
      </c>
      <c r="J53" s="27" t="s">
        <v>143</v>
      </c>
      <c r="K53" s="26">
        <v>53</v>
      </c>
      <c r="L53" s="26" t="s">
        <v>139</v>
      </c>
      <c r="M53" s="27" t="s">
        <v>120</v>
      </c>
      <c r="N53" s="27"/>
      <c r="O53" s="28" t="s">
        <v>76</v>
      </c>
      <c r="P53" s="28" t="s">
        <v>121</v>
      </c>
    </row>
    <row r="54" spans="1:16" ht="12.75" customHeight="1" thickBot="1" x14ac:dyDescent="0.25">
      <c r="A54" s="5" t="str">
        <f t="shared" si="6"/>
        <v> IODE 4.3.24 </v>
      </c>
      <c r="B54" s="2" t="str">
        <f t="shared" si="7"/>
        <v>I</v>
      </c>
      <c r="C54" s="5">
        <f t="shared" si="8"/>
        <v>31267.35</v>
      </c>
      <c r="D54" s="4" t="str">
        <f t="shared" si="9"/>
        <v>vis</v>
      </c>
      <c r="E54" s="25">
        <f>VLOOKUP(C54,Active!C$21:E$967,3,FALSE)</f>
        <v>54.006259752659098</v>
      </c>
      <c r="F54" s="2" t="s">
        <v>70</v>
      </c>
      <c r="G54" s="4" t="str">
        <f t="shared" si="10"/>
        <v>31267.35</v>
      </c>
      <c r="H54" s="5">
        <f t="shared" si="11"/>
        <v>54</v>
      </c>
      <c r="I54" s="26" t="s">
        <v>144</v>
      </c>
      <c r="J54" s="27" t="s">
        <v>145</v>
      </c>
      <c r="K54" s="26">
        <v>54</v>
      </c>
      <c r="L54" s="26" t="s">
        <v>119</v>
      </c>
      <c r="M54" s="27" t="s">
        <v>120</v>
      </c>
      <c r="N54" s="27"/>
      <c r="O54" s="28" t="s">
        <v>76</v>
      </c>
      <c r="P54" s="28" t="s">
        <v>121</v>
      </c>
    </row>
    <row r="55" spans="1:16" ht="12.75" customHeight="1" thickBot="1" x14ac:dyDescent="0.25">
      <c r="A55" s="5" t="str">
        <f t="shared" si="6"/>
        <v> PZ 20.331 </v>
      </c>
      <c r="B55" s="2" t="str">
        <f t="shared" si="7"/>
        <v>I</v>
      </c>
      <c r="C55" s="5">
        <f t="shared" si="8"/>
        <v>31606.434000000001</v>
      </c>
      <c r="D55" s="4" t="str">
        <f t="shared" si="9"/>
        <v>vis</v>
      </c>
      <c r="E55" s="25">
        <f>VLOOKUP(C55,Active!C$21:E$967,3,FALSE)</f>
        <v>394.01106075473552</v>
      </c>
      <c r="F55" s="2" t="s">
        <v>70</v>
      </c>
      <c r="G55" s="4" t="str">
        <f t="shared" si="10"/>
        <v>31606.434</v>
      </c>
      <c r="H55" s="5">
        <f t="shared" si="11"/>
        <v>394</v>
      </c>
      <c r="I55" s="26" t="s">
        <v>146</v>
      </c>
      <c r="J55" s="27" t="s">
        <v>147</v>
      </c>
      <c r="K55" s="26">
        <v>394</v>
      </c>
      <c r="L55" s="26" t="s">
        <v>95</v>
      </c>
      <c r="M55" s="27" t="s">
        <v>75</v>
      </c>
      <c r="N55" s="27"/>
      <c r="O55" s="28" t="s">
        <v>76</v>
      </c>
      <c r="P55" s="28" t="s">
        <v>77</v>
      </c>
    </row>
    <row r="56" spans="1:16" ht="12.75" customHeight="1" thickBot="1" x14ac:dyDescent="0.25">
      <c r="A56" s="5" t="str">
        <f t="shared" si="6"/>
        <v> PZ 20.331 </v>
      </c>
      <c r="B56" s="2" t="str">
        <f t="shared" si="7"/>
        <v>I</v>
      </c>
      <c r="C56" s="5">
        <f t="shared" si="8"/>
        <v>31648.297999999999</v>
      </c>
      <c r="D56" s="4" t="str">
        <f t="shared" si="9"/>
        <v>vis</v>
      </c>
      <c r="E56" s="25">
        <f>VLOOKUP(C56,Active!C$21:E$967,3,FALSE)</f>
        <v>435.9887447184438</v>
      </c>
      <c r="F56" s="2" t="s">
        <v>70</v>
      </c>
      <c r="G56" s="4" t="str">
        <f t="shared" si="10"/>
        <v>31648.298</v>
      </c>
      <c r="H56" s="5">
        <f t="shared" si="11"/>
        <v>436</v>
      </c>
      <c r="I56" s="26" t="s">
        <v>148</v>
      </c>
      <c r="J56" s="27" t="s">
        <v>149</v>
      </c>
      <c r="K56" s="26">
        <v>436</v>
      </c>
      <c r="L56" s="26" t="s">
        <v>150</v>
      </c>
      <c r="M56" s="27" t="s">
        <v>75</v>
      </c>
      <c r="N56" s="27"/>
      <c r="O56" s="28" t="s">
        <v>76</v>
      </c>
      <c r="P56" s="28" t="s">
        <v>77</v>
      </c>
    </row>
    <row r="57" spans="1:16" ht="12.75" customHeight="1" thickBot="1" x14ac:dyDescent="0.25">
      <c r="A57" s="5" t="str">
        <f t="shared" si="6"/>
        <v> PZ 20.331 </v>
      </c>
      <c r="B57" s="2" t="str">
        <f t="shared" si="7"/>
        <v>I</v>
      </c>
      <c r="C57" s="5">
        <f t="shared" si="8"/>
        <v>31906.589</v>
      </c>
      <c r="D57" s="4" t="str">
        <f t="shared" si="9"/>
        <v>vis</v>
      </c>
      <c r="E57" s="25">
        <f>VLOOKUP(C57,Active!C$21:E$967,3,FALSE)</f>
        <v>694.98114794486264</v>
      </c>
      <c r="F57" s="2" t="s">
        <v>70</v>
      </c>
      <c r="G57" s="4" t="str">
        <f t="shared" si="10"/>
        <v>31906.589</v>
      </c>
      <c r="H57" s="5">
        <f t="shared" si="11"/>
        <v>695</v>
      </c>
      <c r="I57" s="26" t="s">
        <v>151</v>
      </c>
      <c r="J57" s="27" t="s">
        <v>152</v>
      </c>
      <c r="K57" s="26">
        <v>695</v>
      </c>
      <c r="L57" s="26" t="s">
        <v>153</v>
      </c>
      <c r="M57" s="27" t="s">
        <v>75</v>
      </c>
      <c r="N57" s="27"/>
      <c r="O57" s="28" t="s">
        <v>76</v>
      </c>
      <c r="P57" s="28" t="s">
        <v>77</v>
      </c>
    </row>
    <row r="58" spans="1:16" ht="12.75" customHeight="1" thickBot="1" x14ac:dyDescent="0.25">
      <c r="A58" s="5" t="str">
        <f t="shared" si="6"/>
        <v> PZ 20.331 </v>
      </c>
      <c r="B58" s="2" t="str">
        <f t="shared" si="7"/>
        <v>I</v>
      </c>
      <c r="C58" s="5">
        <f t="shared" si="8"/>
        <v>32413.237000000001</v>
      </c>
      <c r="D58" s="4" t="str">
        <f t="shared" si="9"/>
        <v>vis</v>
      </c>
      <c r="E58" s="25">
        <f>VLOOKUP(C58,Active!C$21:E$967,3,FALSE)</f>
        <v>1203.00497808164</v>
      </c>
      <c r="F58" s="2" t="s">
        <v>70</v>
      </c>
      <c r="G58" s="4" t="str">
        <f t="shared" si="10"/>
        <v>32413.237</v>
      </c>
      <c r="H58" s="5">
        <f t="shared" si="11"/>
        <v>1203</v>
      </c>
      <c r="I58" s="26" t="s">
        <v>154</v>
      </c>
      <c r="J58" s="27" t="s">
        <v>155</v>
      </c>
      <c r="K58" s="26">
        <v>1203</v>
      </c>
      <c r="L58" s="26" t="s">
        <v>156</v>
      </c>
      <c r="M58" s="27" t="s">
        <v>75</v>
      </c>
      <c r="N58" s="27"/>
      <c r="O58" s="28" t="s">
        <v>76</v>
      </c>
      <c r="P58" s="28" t="s">
        <v>77</v>
      </c>
    </row>
    <row r="59" spans="1:16" ht="12.75" customHeight="1" thickBot="1" x14ac:dyDescent="0.25">
      <c r="A59" s="5" t="str">
        <f t="shared" si="6"/>
        <v> PZ 20.331 </v>
      </c>
      <c r="B59" s="2" t="str">
        <f t="shared" si="7"/>
        <v>I</v>
      </c>
      <c r="C59" s="5">
        <f t="shared" si="8"/>
        <v>32682.49</v>
      </c>
      <c r="D59" s="4" t="str">
        <f t="shared" si="9"/>
        <v>vis</v>
      </c>
      <c r="E59" s="25">
        <f>VLOOKUP(C59,Active!C$21:E$967,3,FALSE)</f>
        <v>1472.9891492139011</v>
      </c>
      <c r="F59" s="2" t="s">
        <v>70</v>
      </c>
      <c r="G59" s="4" t="str">
        <f t="shared" si="10"/>
        <v>32682.490</v>
      </c>
      <c r="H59" s="5">
        <f t="shared" si="11"/>
        <v>1473</v>
      </c>
      <c r="I59" s="26" t="s">
        <v>157</v>
      </c>
      <c r="J59" s="27" t="s">
        <v>158</v>
      </c>
      <c r="K59" s="26">
        <v>1473</v>
      </c>
      <c r="L59" s="26" t="s">
        <v>150</v>
      </c>
      <c r="M59" s="27" t="s">
        <v>75</v>
      </c>
      <c r="N59" s="27"/>
      <c r="O59" s="28" t="s">
        <v>76</v>
      </c>
      <c r="P59" s="28" t="s">
        <v>77</v>
      </c>
    </row>
    <row r="60" spans="1:16" ht="12.75" customHeight="1" thickBot="1" x14ac:dyDescent="0.25">
      <c r="A60" s="5" t="str">
        <f t="shared" si="6"/>
        <v> PZ 20.331 </v>
      </c>
      <c r="B60" s="2" t="str">
        <f t="shared" si="7"/>
        <v>I</v>
      </c>
      <c r="C60" s="5">
        <f t="shared" si="8"/>
        <v>32786.237000000001</v>
      </c>
      <c r="D60" s="4" t="str">
        <f t="shared" si="9"/>
        <v>vis</v>
      </c>
      <c r="E60" s="25">
        <f>VLOOKUP(C60,Active!C$21:E$967,3,FALSE)</f>
        <v>1577.0178798221339</v>
      </c>
      <c r="F60" s="2" t="s">
        <v>70</v>
      </c>
      <c r="G60" s="4" t="str">
        <f t="shared" si="10"/>
        <v>32786.237</v>
      </c>
      <c r="H60" s="5">
        <f t="shared" si="11"/>
        <v>1577</v>
      </c>
      <c r="I60" s="26" t="s">
        <v>159</v>
      </c>
      <c r="J60" s="27" t="s">
        <v>160</v>
      </c>
      <c r="K60" s="26">
        <v>1577</v>
      </c>
      <c r="L60" s="26" t="s">
        <v>161</v>
      </c>
      <c r="M60" s="27" t="s">
        <v>75</v>
      </c>
      <c r="N60" s="27"/>
      <c r="O60" s="28" t="s">
        <v>76</v>
      </c>
      <c r="P60" s="28" t="s">
        <v>77</v>
      </c>
    </row>
    <row r="61" spans="1:16" ht="12.75" customHeight="1" thickBot="1" x14ac:dyDescent="0.25">
      <c r="A61" s="5" t="str">
        <f t="shared" si="6"/>
        <v> PZ 20.331 </v>
      </c>
      <c r="B61" s="2" t="str">
        <f t="shared" si="7"/>
        <v>I</v>
      </c>
      <c r="C61" s="5">
        <f t="shared" si="8"/>
        <v>33088.402999999998</v>
      </c>
      <c r="D61" s="4" t="str">
        <f t="shared" si="9"/>
        <v>vis</v>
      </c>
      <c r="E61" s="25">
        <f>VLOOKUP(C61,Active!C$21:E$967,3,FALSE)</f>
        <v>1880.0044279918845</v>
      </c>
      <c r="F61" s="2" t="s">
        <v>70</v>
      </c>
      <c r="G61" s="4" t="str">
        <f t="shared" si="10"/>
        <v>33088.403</v>
      </c>
      <c r="H61" s="5">
        <f t="shared" si="11"/>
        <v>1880</v>
      </c>
      <c r="I61" s="26" t="s">
        <v>162</v>
      </c>
      <c r="J61" s="27" t="s">
        <v>163</v>
      </c>
      <c r="K61" s="26">
        <v>1880</v>
      </c>
      <c r="L61" s="26" t="s">
        <v>164</v>
      </c>
      <c r="M61" s="27" t="s">
        <v>75</v>
      </c>
      <c r="N61" s="27"/>
      <c r="O61" s="28" t="s">
        <v>76</v>
      </c>
      <c r="P61" s="28" t="s">
        <v>77</v>
      </c>
    </row>
    <row r="62" spans="1:16" ht="12.75" customHeight="1" thickBot="1" x14ac:dyDescent="0.25">
      <c r="A62" s="5" t="str">
        <f t="shared" si="6"/>
        <v> PZ 20.331 </v>
      </c>
      <c r="B62" s="2" t="str">
        <f t="shared" si="7"/>
        <v>I</v>
      </c>
      <c r="C62" s="5">
        <f t="shared" si="8"/>
        <v>36376.455999999998</v>
      </c>
      <c r="D62" s="4" t="str">
        <f t="shared" si="9"/>
        <v>vis</v>
      </c>
      <c r="E62" s="25">
        <f>VLOOKUP(C62,Active!C$21:E$967,3,FALSE)</f>
        <v>5176.9863143364828</v>
      </c>
      <c r="F62" s="2" t="s">
        <v>70</v>
      </c>
      <c r="G62" s="4" t="str">
        <f t="shared" si="10"/>
        <v>36376.456</v>
      </c>
      <c r="H62" s="5">
        <f t="shared" si="11"/>
        <v>5177</v>
      </c>
      <c r="I62" s="26" t="s">
        <v>165</v>
      </c>
      <c r="J62" s="27" t="s">
        <v>166</v>
      </c>
      <c r="K62" s="26">
        <v>5177</v>
      </c>
      <c r="L62" s="26" t="s">
        <v>167</v>
      </c>
      <c r="M62" s="27" t="s">
        <v>75</v>
      </c>
      <c r="N62" s="27"/>
      <c r="O62" s="28" t="s">
        <v>76</v>
      </c>
      <c r="P62" s="28" t="s">
        <v>77</v>
      </c>
    </row>
    <row r="63" spans="1:16" ht="12.75" customHeight="1" thickBot="1" x14ac:dyDescent="0.25">
      <c r="A63" s="5" t="str">
        <f t="shared" si="6"/>
        <v> PZ 20.331 </v>
      </c>
      <c r="B63" s="2" t="str">
        <f t="shared" si="7"/>
        <v>I</v>
      </c>
      <c r="C63" s="5">
        <f t="shared" si="8"/>
        <v>36395.410000000003</v>
      </c>
      <c r="D63" s="4" t="str">
        <f t="shared" si="9"/>
        <v>vis</v>
      </c>
      <c r="E63" s="25">
        <f>VLOOKUP(C63,Active!C$21:E$967,3,FALSE)</f>
        <v>5195.9917849520089</v>
      </c>
      <c r="F63" s="2" t="s">
        <v>70</v>
      </c>
      <c r="G63" s="4" t="str">
        <f t="shared" si="10"/>
        <v>36395.410</v>
      </c>
      <c r="H63" s="5">
        <f t="shared" si="11"/>
        <v>5196</v>
      </c>
      <c r="I63" s="26" t="s">
        <v>168</v>
      </c>
      <c r="J63" s="27" t="s">
        <v>169</v>
      </c>
      <c r="K63" s="26">
        <v>5196</v>
      </c>
      <c r="L63" s="26" t="s">
        <v>170</v>
      </c>
      <c r="M63" s="27" t="s">
        <v>75</v>
      </c>
      <c r="N63" s="27"/>
      <c r="O63" s="28" t="s">
        <v>76</v>
      </c>
      <c r="P63" s="28" t="s">
        <v>77</v>
      </c>
    </row>
    <row r="64" spans="1:16" ht="12.75" customHeight="1" thickBot="1" x14ac:dyDescent="0.25">
      <c r="A64" s="5" t="str">
        <f t="shared" si="6"/>
        <v> PZ 20.331 </v>
      </c>
      <c r="B64" s="2" t="str">
        <f t="shared" si="7"/>
        <v>I</v>
      </c>
      <c r="C64" s="5">
        <f t="shared" si="8"/>
        <v>36723.491000000002</v>
      </c>
      <c r="D64" s="4" t="str">
        <f t="shared" si="9"/>
        <v>vis</v>
      </c>
      <c r="E64" s="25">
        <f>VLOOKUP(C64,Active!C$21:E$967,3,FALSE)</f>
        <v>5524.9637067105141</v>
      </c>
      <c r="F64" s="2" t="s">
        <v>70</v>
      </c>
      <c r="G64" s="4" t="str">
        <f t="shared" si="10"/>
        <v>36723.491</v>
      </c>
      <c r="H64" s="5">
        <f t="shared" si="11"/>
        <v>5525</v>
      </c>
      <c r="I64" s="26" t="s">
        <v>171</v>
      </c>
      <c r="J64" s="27" t="s">
        <v>172</v>
      </c>
      <c r="K64" s="26">
        <v>5525</v>
      </c>
      <c r="L64" s="26" t="s">
        <v>173</v>
      </c>
      <c r="M64" s="27" t="s">
        <v>75</v>
      </c>
      <c r="N64" s="27"/>
      <c r="O64" s="28" t="s">
        <v>76</v>
      </c>
      <c r="P64" s="28" t="s">
        <v>77</v>
      </c>
    </row>
    <row r="65" spans="1:16" ht="12.75" customHeight="1" thickBot="1" x14ac:dyDescent="0.25">
      <c r="A65" s="5" t="str">
        <f t="shared" si="6"/>
        <v> PZ 20.331 </v>
      </c>
      <c r="B65" s="2" t="str">
        <f t="shared" si="7"/>
        <v>I</v>
      </c>
      <c r="C65" s="5">
        <f t="shared" si="8"/>
        <v>36762.385999999999</v>
      </c>
      <c r="D65" s="4" t="str">
        <f t="shared" si="9"/>
        <v>vis</v>
      </c>
      <c r="E65" s="25">
        <f>VLOOKUP(C65,Active!C$21:E$967,3,FALSE)</f>
        <v>5563.9643281936114</v>
      </c>
      <c r="F65" s="2" t="s">
        <v>70</v>
      </c>
      <c r="G65" s="4" t="str">
        <f t="shared" si="10"/>
        <v>36762.386</v>
      </c>
      <c r="H65" s="5">
        <f t="shared" si="11"/>
        <v>5564</v>
      </c>
      <c r="I65" s="26" t="s">
        <v>174</v>
      </c>
      <c r="J65" s="27" t="s">
        <v>175</v>
      </c>
      <c r="K65" s="26">
        <v>5564</v>
      </c>
      <c r="L65" s="26" t="s">
        <v>173</v>
      </c>
      <c r="M65" s="27" t="s">
        <v>75</v>
      </c>
      <c r="N65" s="27"/>
      <c r="O65" s="28" t="s">
        <v>76</v>
      </c>
      <c r="P65" s="28" t="s">
        <v>77</v>
      </c>
    </row>
    <row r="66" spans="1:16" ht="12.75" customHeight="1" thickBot="1" x14ac:dyDescent="0.25">
      <c r="A66" s="5" t="str">
        <f t="shared" si="6"/>
        <v> BBS 121 </v>
      </c>
      <c r="B66" s="2" t="str">
        <f t="shared" si="7"/>
        <v>II</v>
      </c>
      <c r="C66" s="5">
        <f t="shared" si="8"/>
        <v>51250.5</v>
      </c>
      <c r="D66" s="4" t="str">
        <f t="shared" si="9"/>
        <v>vis</v>
      </c>
      <c r="E66" s="25">
        <f>VLOOKUP(C66,Active!C$21:E$967,3,FALSE)</f>
        <v>20091.421587944471</v>
      </c>
      <c r="F66" s="2" t="s">
        <v>70</v>
      </c>
      <c r="G66" s="4" t="str">
        <f t="shared" si="10"/>
        <v>51250.50</v>
      </c>
      <c r="H66" s="5">
        <f t="shared" si="11"/>
        <v>20091.5</v>
      </c>
      <c r="I66" s="26" t="s">
        <v>195</v>
      </c>
      <c r="J66" s="27" t="s">
        <v>196</v>
      </c>
      <c r="K66" s="26">
        <v>20091.5</v>
      </c>
      <c r="L66" s="26" t="s">
        <v>197</v>
      </c>
      <c r="M66" s="27" t="s">
        <v>179</v>
      </c>
      <c r="N66" s="27" t="s">
        <v>180</v>
      </c>
      <c r="O66" s="28" t="s">
        <v>181</v>
      </c>
      <c r="P66" s="28" t="s">
        <v>198</v>
      </c>
    </row>
    <row r="67" spans="1:16" ht="12.75" customHeight="1" thickBot="1" x14ac:dyDescent="0.25">
      <c r="A67" s="5" t="str">
        <f t="shared" si="6"/>
        <v> BBS 122 </v>
      </c>
      <c r="B67" s="2" t="str">
        <f t="shared" si="7"/>
        <v>II</v>
      </c>
      <c r="C67" s="5">
        <f t="shared" si="8"/>
        <v>51610.5291</v>
      </c>
      <c r="D67" s="4" t="str">
        <f t="shared" si="9"/>
        <v>vis</v>
      </c>
      <c r="E67" s="25">
        <f>VLOOKUP(C67,Active!C$21:E$967,3,FALSE)</f>
        <v>20452.428366502161</v>
      </c>
      <c r="F67" s="2" t="s">
        <v>70</v>
      </c>
      <c r="G67" s="4" t="str">
        <f t="shared" si="10"/>
        <v>51610.5291</v>
      </c>
      <c r="H67" s="5">
        <f t="shared" si="11"/>
        <v>20452.5</v>
      </c>
      <c r="I67" s="26" t="s">
        <v>203</v>
      </c>
      <c r="J67" s="27" t="s">
        <v>204</v>
      </c>
      <c r="K67" s="26">
        <v>20452.5</v>
      </c>
      <c r="L67" s="26" t="s">
        <v>201</v>
      </c>
      <c r="M67" s="27" t="s">
        <v>179</v>
      </c>
      <c r="N67" s="27" t="s">
        <v>180</v>
      </c>
      <c r="O67" s="28" t="s">
        <v>181</v>
      </c>
      <c r="P67" s="28" t="s">
        <v>205</v>
      </c>
    </row>
    <row r="68" spans="1:16" ht="12.75" customHeight="1" thickBot="1" x14ac:dyDescent="0.25">
      <c r="A68" s="5" t="str">
        <f t="shared" si="6"/>
        <v> BRNO 32 </v>
      </c>
      <c r="B68" s="2" t="str">
        <f t="shared" si="7"/>
        <v>II</v>
      </c>
      <c r="C68" s="5">
        <f t="shared" si="8"/>
        <v>51664.383099999999</v>
      </c>
      <c r="D68" s="4" t="str">
        <f t="shared" si="9"/>
        <v>vis</v>
      </c>
      <c r="E68" s="25">
        <f>VLOOKUP(C68,Active!C$21:E$967,3,FALSE)</f>
        <v>20506.428609961495</v>
      </c>
      <c r="F68" s="2" t="s">
        <v>70</v>
      </c>
      <c r="G68" s="4" t="str">
        <f t="shared" si="10"/>
        <v>51664.3831</v>
      </c>
      <c r="H68" s="5">
        <f t="shared" si="11"/>
        <v>20506.5</v>
      </c>
      <c r="I68" s="26" t="s">
        <v>213</v>
      </c>
      <c r="J68" s="27" t="s">
        <v>214</v>
      </c>
      <c r="K68" s="26">
        <v>20506.5</v>
      </c>
      <c r="L68" s="26" t="s">
        <v>215</v>
      </c>
      <c r="M68" s="27" t="s">
        <v>179</v>
      </c>
      <c r="N68" s="27" t="s">
        <v>180</v>
      </c>
      <c r="O68" s="28" t="s">
        <v>216</v>
      </c>
      <c r="P68" s="28" t="s">
        <v>217</v>
      </c>
    </row>
    <row r="69" spans="1:16" ht="12.75" customHeight="1" thickBot="1" x14ac:dyDescent="0.25">
      <c r="A69" s="5" t="str">
        <f t="shared" si="6"/>
        <v> BBS 124 </v>
      </c>
      <c r="B69" s="2" t="str">
        <f t="shared" si="7"/>
        <v>II</v>
      </c>
      <c r="C69" s="5">
        <f t="shared" si="8"/>
        <v>51955.591899999999</v>
      </c>
      <c r="D69" s="4" t="str">
        <f t="shared" si="9"/>
        <v>vis</v>
      </c>
      <c r="E69" s="25">
        <f>VLOOKUP(C69,Active!C$21:E$967,3,FALSE)</f>
        <v>20798.428203260068</v>
      </c>
      <c r="F69" s="2" t="s">
        <v>70</v>
      </c>
      <c r="G69" s="4" t="str">
        <f t="shared" si="10"/>
        <v>51955.5919</v>
      </c>
      <c r="H69" s="5">
        <f t="shared" si="11"/>
        <v>20798.5</v>
      </c>
      <c r="I69" s="26" t="s">
        <v>218</v>
      </c>
      <c r="J69" s="27" t="s">
        <v>219</v>
      </c>
      <c r="K69" s="26">
        <v>20798.5</v>
      </c>
      <c r="L69" s="26" t="s">
        <v>220</v>
      </c>
      <c r="M69" s="27" t="s">
        <v>179</v>
      </c>
      <c r="N69" s="27" t="s">
        <v>180</v>
      </c>
      <c r="O69" s="28" t="s">
        <v>221</v>
      </c>
      <c r="P69" s="28" t="s">
        <v>222</v>
      </c>
    </row>
    <row r="70" spans="1:16" ht="12.75" customHeight="1" thickBot="1" x14ac:dyDescent="0.25">
      <c r="A70" s="5" t="str">
        <f t="shared" si="6"/>
        <v> BBS 128 </v>
      </c>
      <c r="B70" s="2" t="str">
        <f t="shared" si="7"/>
        <v>II</v>
      </c>
      <c r="C70" s="5">
        <f t="shared" si="8"/>
        <v>52362.48</v>
      </c>
      <c r="D70" s="4" t="str">
        <f t="shared" si="9"/>
        <v>vis</v>
      </c>
      <c r="E70" s="25">
        <f>VLOOKUP(C70,Active!C$21:E$967,3,FALSE)</f>
        <v>21206.421229975022</v>
      </c>
      <c r="F70" s="2" t="s">
        <v>70</v>
      </c>
      <c r="G70" s="4" t="str">
        <f t="shared" si="10"/>
        <v>52362.480</v>
      </c>
      <c r="H70" s="5">
        <f t="shared" si="11"/>
        <v>21206.5</v>
      </c>
      <c r="I70" s="26" t="s">
        <v>226</v>
      </c>
      <c r="J70" s="27" t="s">
        <v>227</v>
      </c>
      <c r="K70" s="26">
        <v>21206.5</v>
      </c>
      <c r="L70" s="26" t="s">
        <v>228</v>
      </c>
      <c r="M70" s="27" t="s">
        <v>179</v>
      </c>
      <c r="N70" s="27" t="s">
        <v>180</v>
      </c>
      <c r="O70" s="28" t="s">
        <v>221</v>
      </c>
      <c r="P70" s="28" t="s">
        <v>229</v>
      </c>
    </row>
    <row r="71" spans="1:16" ht="12.75" customHeight="1" thickBot="1" x14ac:dyDescent="0.25">
      <c r="A71" s="5" t="str">
        <f t="shared" si="6"/>
        <v> BBS 128 </v>
      </c>
      <c r="B71" s="2" t="str">
        <f t="shared" si="7"/>
        <v>II</v>
      </c>
      <c r="C71" s="5">
        <f t="shared" si="8"/>
        <v>52395.402999999998</v>
      </c>
      <c r="D71" s="4" t="str">
        <f t="shared" si="9"/>
        <v>vis</v>
      </c>
      <c r="E71" s="25">
        <f>VLOOKUP(C71,Active!C$21:E$967,3,FALSE)</f>
        <v>21239.43363416805</v>
      </c>
      <c r="F71" s="2" t="s">
        <v>70</v>
      </c>
      <c r="G71" s="4" t="str">
        <f t="shared" si="10"/>
        <v>52395.403</v>
      </c>
      <c r="H71" s="5">
        <f t="shared" si="11"/>
        <v>21239.5</v>
      </c>
      <c r="I71" s="26" t="s">
        <v>230</v>
      </c>
      <c r="J71" s="27" t="s">
        <v>231</v>
      </c>
      <c r="K71" s="26">
        <v>21239.5</v>
      </c>
      <c r="L71" s="26" t="s">
        <v>74</v>
      </c>
      <c r="M71" s="27" t="s">
        <v>179</v>
      </c>
      <c r="N71" s="27" t="s">
        <v>180</v>
      </c>
      <c r="O71" s="28" t="s">
        <v>232</v>
      </c>
      <c r="P71" s="28" t="s">
        <v>229</v>
      </c>
    </row>
    <row r="72" spans="1:16" ht="12.75" customHeight="1" thickBot="1" x14ac:dyDescent="0.25">
      <c r="A72" s="5" t="str">
        <f t="shared" si="6"/>
        <v>OEJV 0073 </v>
      </c>
      <c r="B72" s="2" t="str">
        <f t="shared" si="7"/>
        <v>II</v>
      </c>
      <c r="C72" s="5">
        <f t="shared" si="8"/>
        <v>54271.296999999999</v>
      </c>
      <c r="D72" s="4" t="str">
        <f t="shared" si="9"/>
        <v>vis</v>
      </c>
      <c r="E72" s="25" t="e">
        <f>VLOOKUP(C72,Active!C$21:E$967,3,FALSE)</f>
        <v>#N/A</v>
      </c>
      <c r="F72" s="2" t="s">
        <v>70</v>
      </c>
      <c r="G72" s="4" t="str">
        <f t="shared" si="10"/>
        <v>54271.297</v>
      </c>
      <c r="H72" s="5">
        <f t="shared" si="11"/>
        <v>23120.5</v>
      </c>
      <c r="I72" s="26" t="s">
        <v>265</v>
      </c>
      <c r="J72" s="27" t="s">
        <v>266</v>
      </c>
      <c r="K72" s="26" t="s">
        <v>267</v>
      </c>
      <c r="L72" s="26" t="s">
        <v>268</v>
      </c>
      <c r="M72" s="27" t="s">
        <v>209</v>
      </c>
      <c r="N72" s="27" t="s">
        <v>210</v>
      </c>
      <c r="O72" s="28" t="s">
        <v>181</v>
      </c>
      <c r="P72" s="29" t="s">
        <v>269</v>
      </c>
    </row>
    <row r="73" spans="1:16" ht="12.75" customHeight="1" thickBot="1" x14ac:dyDescent="0.25">
      <c r="A73" s="5" t="str">
        <f t="shared" si="6"/>
        <v>OEJV 0073 </v>
      </c>
      <c r="B73" s="2" t="str">
        <f t="shared" si="7"/>
        <v>II</v>
      </c>
      <c r="C73" s="5">
        <f t="shared" si="8"/>
        <v>54274.288999999997</v>
      </c>
      <c r="D73" s="4" t="str">
        <f t="shared" si="9"/>
        <v>vis</v>
      </c>
      <c r="E73" s="25" t="e">
        <f>VLOOKUP(C73,Active!C$21:E$967,3,FALSE)</f>
        <v>#N/A</v>
      </c>
      <c r="F73" s="2" t="s">
        <v>70</v>
      </c>
      <c r="G73" s="4" t="str">
        <f t="shared" si="10"/>
        <v>54274.289</v>
      </c>
      <c r="H73" s="5">
        <f t="shared" si="11"/>
        <v>23123.5</v>
      </c>
      <c r="I73" s="26" t="s">
        <v>270</v>
      </c>
      <c r="J73" s="27" t="s">
        <v>271</v>
      </c>
      <c r="K73" s="26" t="s">
        <v>272</v>
      </c>
      <c r="L73" s="26" t="s">
        <v>268</v>
      </c>
      <c r="M73" s="27" t="s">
        <v>209</v>
      </c>
      <c r="N73" s="27" t="s">
        <v>210</v>
      </c>
      <c r="O73" s="28" t="s">
        <v>181</v>
      </c>
      <c r="P73" s="29" t="s">
        <v>269</v>
      </c>
    </row>
    <row r="74" spans="1:16" ht="12.75" customHeight="1" thickBot="1" x14ac:dyDescent="0.25">
      <c r="A74" s="5" t="str">
        <f t="shared" si="6"/>
        <v>OEJV 0073 </v>
      </c>
      <c r="B74" s="2" t="str">
        <f t="shared" si="7"/>
        <v>II</v>
      </c>
      <c r="C74" s="5">
        <f t="shared" si="8"/>
        <v>54280.273000000001</v>
      </c>
      <c r="D74" s="4" t="str">
        <f t="shared" si="9"/>
        <v>vis</v>
      </c>
      <c r="E74" s="25" t="e">
        <f>VLOOKUP(C74,Active!C$21:E$967,3,FALSE)</f>
        <v>#N/A</v>
      </c>
      <c r="F74" s="2" t="s">
        <v>70</v>
      </c>
      <c r="G74" s="4" t="str">
        <f t="shared" si="10"/>
        <v>54280.273</v>
      </c>
      <c r="H74" s="5">
        <f t="shared" si="11"/>
        <v>23129.5</v>
      </c>
      <c r="I74" s="26" t="s">
        <v>273</v>
      </c>
      <c r="J74" s="27" t="s">
        <v>274</v>
      </c>
      <c r="K74" s="26" t="s">
        <v>275</v>
      </c>
      <c r="L74" s="26" t="s">
        <v>268</v>
      </c>
      <c r="M74" s="27" t="s">
        <v>209</v>
      </c>
      <c r="N74" s="27" t="s">
        <v>210</v>
      </c>
      <c r="O74" s="28" t="s">
        <v>181</v>
      </c>
      <c r="P74" s="29" t="s">
        <v>269</v>
      </c>
    </row>
    <row r="75" spans="1:16" ht="12.75" customHeight="1" thickBot="1" x14ac:dyDescent="0.25">
      <c r="A75" s="5" t="str">
        <f t="shared" si="6"/>
        <v>OEJV 0073 </v>
      </c>
      <c r="B75" s="2" t="str">
        <f t="shared" si="7"/>
        <v>II</v>
      </c>
      <c r="C75" s="5">
        <f t="shared" si="8"/>
        <v>54281.273999999998</v>
      </c>
      <c r="D75" s="4" t="str">
        <f t="shared" si="9"/>
        <v>vis</v>
      </c>
      <c r="E75" s="25" t="e">
        <f>VLOOKUP(C75,Active!C$21:E$967,3,FALSE)</f>
        <v>#N/A</v>
      </c>
      <c r="F75" s="2" t="s">
        <v>70</v>
      </c>
      <c r="G75" s="4" t="str">
        <f t="shared" si="10"/>
        <v>54281.274</v>
      </c>
      <c r="H75" s="5">
        <f t="shared" si="11"/>
        <v>23130.5</v>
      </c>
      <c r="I75" s="26" t="s">
        <v>276</v>
      </c>
      <c r="J75" s="27" t="s">
        <v>277</v>
      </c>
      <c r="K75" s="26" t="s">
        <v>278</v>
      </c>
      <c r="L75" s="26" t="s">
        <v>178</v>
      </c>
      <c r="M75" s="27" t="s">
        <v>209</v>
      </c>
      <c r="N75" s="27" t="s">
        <v>210</v>
      </c>
      <c r="O75" s="28" t="s">
        <v>181</v>
      </c>
      <c r="P75" s="29" t="s">
        <v>269</v>
      </c>
    </row>
    <row r="76" spans="1:16" ht="12.75" customHeight="1" thickBot="1" x14ac:dyDescent="0.25">
      <c r="A76" s="5" t="str">
        <f t="shared" si="6"/>
        <v>OEJV 0073 </v>
      </c>
      <c r="B76" s="2" t="str">
        <f t="shared" si="7"/>
        <v>II</v>
      </c>
      <c r="C76" s="5">
        <f t="shared" si="8"/>
        <v>54285.258000000002</v>
      </c>
      <c r="D76" s="4" t="str">
        <f t="shared" si="9"/>
        <v>vis</v>
      </c>
      <c r="E76" s="25" t="e">
        <f>VLOOKUP(C76,Active!C$21:E$967,3,FALSE)</f>
        <v>#N/A</v>
      </c>
      <c r="F76" s="2" t="s">
        <v>70</v>
      </c>
      <c r="G76" s="4" t="str">
        <f t="shared" si="10"/>
        <v>54285.258</v>
      </c>
      <c r="H76" s="5">
        <f t="shared" si="11"/>
        <v>23134.5</v>
      </c>
      <c r="I76" s="26" t="s">
        <v>279</v>
      </c>
      <c r="J76" s="27" t="s">
        <v>280</v>
      </c>
      <c r="K76" s="26" t="s">
        <v>281</v>
      </c>
      <c r="L76" s="26" t="s">
        <v>228</v>
      </c>
      <c r="M76" s="27" t="s">
        <v>209</v>
      </c>
      <c r="N76" s="27" t="s">
        <v>210</v>
      </c>
      <c r="O76" s="28" t="s">
        <v>181</v>
      </c>
      <c r="P76" s="29" t="s">
        <v>269</v>
      </c>
    </row>
    <row r="77" spans="1:16" ht="12.75" customHeight="1" thickBot="1" x14ac:dyDescent="0.25">
      <c r="A77" s="5" t="str">
        <f t="shared" si="6"/>
        <v>OEJV 0073 </v>
      </c>
      <c r="B77" s="2" t="str">
        <f t="shared" si="7"/>
        <v>II</v>
      </c>
      <c r="C77" s="5">
        <f t="shared" si="8"/>
        <v>54288.250999999997</v>
      </c>
      <c r="D77" s="4" t="str">
        <f t="shared" si="9"/>
        <v>vis</v>
      </c>
      <c r="E77" s="25" t="e">
        <f>VLOOKUP(C77,Active!C$21:E$967,3,FALSE)</f>
        <v>#N/A</v>
      </c>
      <c r="F77" s="2" t="s">
        <v>70</v>
      </c>
      <c r="G77" s="4" t="str">
        <f t="shared" si="10"/>
        <v>54288.251</v>
      </c>
      <c r="H77" s="5">
        <f t="shared" si="11"/>
        <v>23137.5</v>
      </c>
      <c r="I77" s="26" t="s">
        <v>282</v>
      </c>
      <c r="J77" s="27" t="s">
        <v>283</v>
      </c>
      <c r="K77" s="26" t="s">
        <v>284</v>
      </c>
      <c r="L77" s="26" t="s">
        <v>268</v>
      </c>
      <c r="M77" s="27" t="s">
        <v>209</v>
      </c>
      <c r="N77" s="27" t="s">
        <v>210</v>
      </c>
      <c r="O77" s="28" t="s">
        <v>181</v>
      </c>
      <c r="P77" s="29" t="s">
        <v>269</v>
      </c>
    </row>
    <row r="78" spans="1:16" x14ac:dyDescent="0.2">
      <c r="B78" s="2"/>
      <c r="F78" s="2"/>
    </row>
    <row r="79" spans="1:16" x14ac:dyDescent="0.2">
      <c r="B79" s="2"/>
      <c r="F79" s="2"/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</sheetData>
  <phoneticPr fontId="7" type="noConversion"/>
  <hyperlinks>
    <hyperlink ref="P12" r:id="rId1" display="http://www.konkoly.hu/cgi-bin/IBVS?4888"/>
    <hyperlink ref="P13" r:id="rId2" display="http://www.konkoly.hu/cgi-bin/IBVS?4888"/>
    <hyperlink ref="P14" r:id="rId3" display="http://www.konkoly.hu/cgi-bin/IBVS?4888"/>
    <hyperlink ref="P15" r:id="rId4" display="http://www.konkoly.hu/cgi-bin/IBVS?5263"/>
    <hyperlink ref="P16" r:id="rId5" display="http://var.astro.cz/oejv/issues/oejv0074.pdf"/>
    <hyperlink ref="P17" r:id="rId6" display="http://var.astro.cz/oejv/issues/oejv0074.pdf"/>
    <hyperlink ref="P19" r:id="rId7" display="http://www.konkoly.hu/cgi-bin/IBVS?5602"/>
    <hyperlink ref="P20" r:id="rId8" display="http://www.konkoly.hu/cgi-bin/IBVS?5653"/>
    <hyperlink ref="P21" r:id="rId9" display="http://www.bav-astro.de/sfs/BAVM_link.php?BAVMnr=173"/>
    <hyperlink ref="P22" r:id="rId10" display="http://www.bav-astro.de/sfs/BAVM_link.php?BAVMnr=173"/>
    <hyperlink ref="P23" r:id="rId11" display="http://www.bav-astro.de/sfs/BAVM_link.php?BAVMnr=178"/>
    <hyperlink ref="P24" r:id="rId12" display="http://www.bav-astro.de/sfs/BAVM_link.php?BAVMnr=186"/>
    <hyperlink ref="P72" r:id="rId13" display="http://var.astro.cz/oejv/issues/oejv0073.pdf"/>
    <hyperlink ref="P73" r:id="rId14" display="http://var.astro.cz/oejv/issues/oejv0073.pdf"/>
    <hyperlink ref="P74" r:id="rId15" display="http://var.astro.cz/oejv/issues/oejv0073.pdf"/>
    <hyperlink ref="P75" r:id="rId16" display="http://var.astro.cz/oejv/issues/oejv0073.pdf"/>
    <hyperlink ref="P76" r:id="rId17" display="http://var.astro.cz/oejv/issues/oejv0073.pdf"/>
    <hyperlink ref="P77" r:id="rId18" display="http://var.astro.cz/oejv/issues/oejv0073.pdf"/>
    <hyperlink ref="P25" r:id="rId19" display="http://var.astro.cz/oejv/issues/oejv0142.pdf"/>
    <hyperlink ref="P26" r:id="rId20" display="http://www.konkoly.hu/cgi-bin/IBVS?5992"/>
    <hyperlink ref="P27" r:id="rId21" display="http://var.astro.cz/oejv/issues/oejv0155.pdf"/>
    <hyperlink ref="P28" r:id="rId22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2024-03-05T06:41:35Z</dcterms:modified>
</cp:coreProperties>
</file>