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40C4CB-90DC-426F-B25F-628345DAB60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 s="1"/>
  <c r="G26" i="1" s="1"/>
  <c r="I26" i="1" s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8" i="1"/>
  <c r="F38" i="1"/>
  <c r="G38" i="1"/>
  <c r="I38" i="1"/>
  <c r="E37" i="1"/>
  <c r="F37" i="1"/>
  <c r="G37" i="1"/>
  <c r="I37" i="1"/>
  <c r="E39" i="1"/>
  <c r="F39" i="1"/>
  <c r="G39" i="1"/>
  <c r="H39" i="1"/>
  <c r="Q27" i="1"/>
  <c r="Q28" i="1"/>
  <c r="Q29" i="1"/>
  <c r="Q30" i="1"/>
  <c r="Q31" i="1"/>
  <c r="Q32" i="1"/>
  <c r="Q33" i="1"/>
  <c r="Q34" i="1"/>
  <c r="Q35" i="1"/>
  <c r="Q36" i="1"/>
  <c r="Q38" i="1"/>
  <c r="G28" i="2"/>
  <c r="C28" i="2"/>
  <c r="E28" i="2"/>
  <c r="G11" i="2"/>
  <c r="C11" i="2"/>
  <c r="E11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28" i="2"/>
  <c r="D28" i="2"/>
  <c r="B28" i="2"/>
  <c r="A28" i="2"/>
  <c r="H11" i="2"/>
  <c r="D11" i="2"/>
  <c r="B11" i="2"/>
  <c r="A11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G4" i="1"/>
  <c r="F4" i="1"/>
  <c r="Q37" i="1"/>
  <c r="E15" i="1"/>
  <c r="C17" i="1"/>
  <c r="Q39" i="1"/>
  <c r="C11" i="1"/>
  <c r="C12" i="1"/>
  <c r="C16" i="1" l="1"/>
  <c r="D18" i="1" s="1"/>
  <c r="O33" i="1"/>
  <c r="O31" i="1"/>
  <c r="O27" i="1"/>
  <c r="O21" i="1"/>
  <c r="O30" i="1"/>
  <c r="O22" i="1"/>
  <c r="O32" i="1"/>
  <c r="O34" i="1"/>
  <c r="O29" i="1"/>
  <c r="O23" i="1"/>
  <c r="O39" i="1"/>
  <c r="O37" i="1"/>
  <c r="O26" i="1"/>
  <c r="O35" i="1"/>
  <c r="O28" i="1"/>
  <c r="O38" i="1"/>
  <c r="O25" i="1"/>
  <c r="O36" i="1"/>
  <c r="C15" i="1"/>
  <c r="E16" i="1" s="1"/>
  <c r="O24" i="1"/>
  <c r="C18" i="1" l="1"/>
  <c r="E17" i="1"/>
</calcChain>
</file>

<file path=xl/sharedStrings.xml><?xml version="1.0" encoding="utf-8"?>
<sst xmlns="http://schemas.openxmlformats.org/spreadsheetml/2006/main" count="231" uniqueCount="134">
  <si>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</si>
  <si>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</si>
  <si>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</si>
  <si>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</si>
  <si>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</si>
  <si>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</si>
  <si>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</si>
  <si>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</si>
  <si>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</si>
  <si>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</si>
  <si>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</si>
  <si>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</si>
  <si>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</si>
  <si>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</si>
  <si>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</si>
  <si>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</si>
  <si>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</si>
  <si>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</si>
  <si>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</si>
  <si>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</si>
  <si>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</si>
  <si>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</si>
  <si>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</si>
  <si>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</si>
  <si>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</si>
  <si>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</si>
  <si>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</si>
  <si>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</si>
  <si>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</si>
  <si>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</si>
  <si>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</si>
  <si>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</si>
  <si>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</si>
  <si>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</si>
  <si>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</si>
  <si>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</si>
  <si>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</si>
  <si>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 Ser / GSC 6265-1693</t>
  </si>
  <si>
    <t xml:space="preserve">EB/SD     </t>
  </si>
  <si>
    <t>Kreiner</t>
  </si>
  <si>
    <t>1964AJ.....69..316F</t>
  </si>
  <si>
    <t>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</si>
  <si>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</si>
  <si>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</si>
  <si>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</si>
  <si>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</si>
  <si>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</si>
  <si>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</si>
  <si>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</si>
  <si>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</si>
  <si>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</si>
  <si>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</si>
  <si>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</si>
  <si>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</si>
  <si>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2410002.677 </t>
  </si>
  <si>
    <t> 06.04.1886 04:14 </t>
  </si>
  <si>
    <t> 0.114 </t>
  </si>
  <si>
    <t>P </t>
  </si>
  <si>
    <t> E.C.Pickering </t>
  </si>
  <si>
    <t> HC 88.1 </t>
  </si>
  <si>
    <t>2411190.643 </t>
  </si>
  <si>
    <t> 07.07.1889 03:25 </t>
  </si>
  <si>
    <t> 0.059 </t>
  </si>
  <si>
    <t> HC 88.2 </t>
  </si>
  <si>
    <t>2412585.871 </t>
  </si>
  <si>
    <t> 02.05.1893 08:54 </t>
  </si>
  <si>
    <t> 0.052 </t>
  </si>
  <si>
    <t>2412585.881 </t>
  </si>
  <si>
    <t> 02.05.1893 09:08 </t>
  </si>
  <si>
    <t> 0.062 </t>
  </si>
  <si>
    <t>2414077.822 </t>
  </si>
  <si>
    <t> 02.06.1897 07:43 </t>
  </si>
  <si>
    <t> 0.069 </t>
  </si>
  <si>
    <t>2414816.780 </t>
  </si>
  <si>
    <t> 11.06.1899 06:43 </t>
  </si>
  <si>
    <t> -0.033 </t>
  </si>
  <si>
    <t>2415151.831 </t>
  </si>
  <si>
    <t> 12.05.1900 07:56 </t>
  </si>
  <si>
    <t> 0.024 </t>
  </si>
  <si>
    <t>2415890.823 </t>
  </si>
  <si>
    <t> 21.05.1902 07:45 </t>
  </si>
  <si>
    <t> -0.044 </t>
  </si>
  <si>
    <t>2415897.810 </t>
  </si>
  <si>
    <t> 28.05.1902 07:26 </t>
  </si>
  <si>
    <t> 0.036 </t>
  </si>
  <si>
    <t>2415942.702 </t>
  </si>
  <si>
    <t> 12.07.1902 04:50 </t>
  </si>
  <si>
    <t> 0.032 </t>
  </si>
  <si>
    <t>2415987.526 </t>
  </si>
  <si>
    <t> 26.08.1902 00:37 </t>
  </si>
  <si>
    <t> -0.041 </t>
  </si>
  <si>
    <t>2416643.778 </t>
  </si>
  <si>
    <t> 12.06.1904 06:40 </t>
  </si>
  <si>
    <t> 0.037 </t>
  </si>
  <si>
    <t>2426935.324 </t>
  </si>
  <si>
    <t> 15.08.1932 19:46 </t>
  </si>
  <si>
    <t> 0.001 </t>
  </si>
  <si>
    <t>V </t>
  </si>
  <si>
    <t> N.Florja </t>
  </si>
  <si>
    <t> CTAO 9 </t>
  </si>
  <si>
    <t>2429449.489 </t>
  </si>
  <si>
    <t> 04.07.1939 23:44 </t>
  </si>
  <si>
    <t> -0.019 </t>
  </si>
  <si>
    <t> S.Gaposchkin </t>
  </si>
  <si>
    <t> HA 113.77 </t>
  </si>
  <si>
    <t>2429936.459 </t>
  </si>
  <si>
    <t> 02.11.1940 23:00 </t>
  </si>
  <si>
    <t> 0.000 </t>
  </si>
  <si>
    <t> A.Soloviev </t>
  </si>
  <si>
    <t> AC 20 </t>
  </si>
  <si>
    <t>2430865.464 </t>
  </si>
  <si>
    <t> 20.05.1943 23:08 </t>
  </si>
  <si>
    <t> -0.000 </t>
  </si>
  <si>
    <t> O.Wasiljanowskaja </t>
  </si>
  <si>
    <t> PZ 7.88 </t>
  </si>
  <si>
    <t>2434515.847 </t>
  </si>
  <si>
    <t> 18.05.1953 08:19 </t>
  </si>
  <si>
    <t> -0.021 </t>
  </si>
  <si>
    <t>E </t>
  </si>
  <si>
    <t> W.S.Fitch </t>
  </si>
  <si>
    <t> AJ 69.316 </t>
  </si>
  <si>
    <t>2447791.305 </t>
  </si>
  <si>
    <t> 21.09.1989 19:19 </t>
  </si>
  <si>
    <t> -0.013 </t>
  </si>
  <si>
    <t> T.Brelstaff </t>
  </si>
  <si>
    <t> VSSC 73 </t>
  </si>
  <si>
    <t>I</t>
  </si>
  <si>
    <t>Vis</t>
  </si>
  <si>
    <t>CCd</t>
  </si>
  <si>
    <t>06/04/1886</t>
  </si>
  <si>
    <t>07/07/1889</t>
  </si>
  <si>
    <t>02/05/1893</t>
  </si>
  <si>
    <t>02/06/1897</t>
  </si>
  <si>
    <t>11/06/1899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</si>
</sst>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7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3" borderId="13" xfId="0" applyFont="1" applyFill="1" applyBorder="1" applyAlignment="1">
      <alignment horizontal="left" vertical="top" wrapText="1" indent="1"/>
    </xf>
    <xf numFmtId="0" fontId="5" fillId="3" borderId="13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Ser --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2E-40C9-B021-3A4671B1C8D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0.10504920000312268</c:v>
                </c:pt>
                <c:pt idx="1">
                  <c:v>5.0468400000681868E-2</c:v>
                </c:pt>
                <c:pt idx="2">
                  <c:v>4.4995600001129787E-2</c:v>
                </c:pt>
                <c:pt idx="3">
                  <c:v>5.4995600001348066E-2</c:v>
                </c:pt>
                <c:pt idx="4">
                  <c:v>6.3173200003802776E-2</c:v>
                </c:pt>
                <c:pt idx="5">
                  <c:v>-3.8141599992741249E-2</c:v>
                </c:pt>
                <c:pt idx="6">
                  <c:v>1.868300000387535E-2</c:v>
                </c:pt>
                <c:pt idx="7">
                  <c:v>-4.8631800000293879E-2</c:v>
                </c:pt>
                <c:pt idx="8">
                  <c:v>3.127180000046792E-2</c:v>
                </c:pt>
                <c:pt idx="9">
                  <c:v>2.7145200003360515E-2</c:v>
                </c:pt>
                <c:pt idx="10">
                  <c:v>-4.4981400000324356E-2</c:v>
                </c:pt>
                <c:pt idx="11">
                  <c:v>3.2860600003914442E-2</c:v>
                </c:pt>
                <c:pt idx="12">
                  <c:v>5.2246000013838056E-3</c:v>
                </c:pt>
                <c:pt idx="13">
                  <c:v>-1.2864999996963888E-2</c:v>
                </c:pt>
                <c:pt idx="14">
                  <c:v>6.8387999999686144E-3</c:v>
                </c:pt>
                <c:pt idx="15">
                  <c:v>7.3730000003706664E-3</c:v>
                </c:pt>
                <c:pt idx="16">
                  <c:v>-1.0074400001030881E-2</c:v>
                </c:pt>
                <c:pt idx="17">
                  <c:v>8.6448000001837499E-3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2E-40C9-B021-3A4671B1C8D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2E-40C9-B021-3A4671B1C8D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2E-40C9-B021-3A4671B1C8D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2E-40C9-B021-3A4671B1C8D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2E-40C9-B021-3A4671B1C8D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6">
                    <c:v>2E-3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2E-40C9-B021-3A4671B1C8D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-12306</c:v>
                </c:pt>
                <c:pt idx="1">
                  <c:v>-11962</c:v>
                </c:pt>
                <c:pt idx="2">
                  <c:v>-11558</c:v>
                </c:pt>
                <c:pt idx="3">
                  <c:v>-11558</c:v>
                </c:pt>
                <c:pt idx="4">
                  <c:v>-11126</c:v>
                </c:pt>
                <c:pt idx="5">
                  <c:v>-10912</c:v>
                </c:pt>
                <c:pt idx="6">
                  <c:v>-10815</c:v>
                </c:pt>
                <c:pt idx="7">
                  <c:v>-10601</c:v>
                </c:pt>
                <c:pt idx="8">
                  <c:v>-10599</c:v>
                </c:pt>
                <c:pt idx="9">
                  <c:v>-10586</c:v>
                </c:pt>
                <c:pt idx="10">
                  <c:v>-10573</c:v>
                </c:pt>
                <c:pt idx="11">
                  <c:v>-10383</c:v>
                </c:pt>
                <c:pt idx="12">
                  <c:v>-7403</c:v>
                </c:pt>
                <c:pt idx="13">
                  <c:v>-6675</c:v>
                </c:pt>
                <c:pt idx="14">
                  <c:v>-6534</c:v>
                </c:pt>
                <c:pt idx="15">
                  <c:v>-6265</c:v>
                </c:pt>
                <c:pt idx="16">
                  <c:v>-5208</c:v>
                </c:pt>
                <c:pt idx="17">
                  <c:v>-1364</c:v>
                </c:pt>
                <c:pt idx="18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2.9245241254224841E-2</c:v>
                </c:pt>
                <c:pt idx="1">
                  <c:v>2.7950481000959808E-2</c:v>
                </c:pt>
                <c:pt idx="2">
                  <c:v>2.6429890470962503E-2</c:v>
                </c:pt>
                <c:pt idx="3">
                  <c:v>2.6429890470962503E-2</c:v>
                </c:pt>
                <c:pt idx="4">
                  <c:v>2.4803912478490134E-2</c:v>
                </c:pt>
                <c:pt idx="5">
                  <c:v>2.3998451158145029E-2</c:v>
                </c:pt>
                <c:pt idx="6">
                  <c:v>2.3633358877427853E-2</c:v>
                </c:pt>
                <c:pt idx="7">
                  <c:v>2.2827897557082748E-2</c:v>
                </c:pt>
                <c:pt idx="8">
                  <c:v>2.2820369881191668E-2</c:v>
                </c:pt>
                <c:pt idx="9">
                  <c:v>2.2771439987899676E-2</c:v>
                </c:pt>
                <c:pt idx="10">
                  <c:v>2.2722510094607684E-2</c:v>
                </c:pt>
                <c:pt idx="11">
                  <c:v>2.2007380884955484E-2</c:v>
                </c:pt>
                <c:pt idx="12">
                  <c:v>1.0791143807252587E-2</c:v>
                </c:pt>
                <c:pt idx="13">
                  <c:v>8.0510697829010054E-3</c:v>
                </c:pt>
                <c:pt idx="14">
                  <c:v>7.5203686325801614E-3</c:v>
                </c:pt>
                <c:pt idx="15">
                  <c:v>6.5078962252304723E-3</c:v>
                </c:pt>
                <c:pt idx="16">
                  <c:v>2.5295195167969256E-3</c:v>
                </c:pt>
                <c:pt idx="17">
                  <c:v>-1.1938673545850709E-2</c:v>
                </c:pt>
                <c:pt idx="18">
                  <c:v>-1.7072548503564385E-2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2E-40C9-B021-3A4671B1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15976"/>
        <c:axId val="1"/>
      </c:scatterChart>
      <c:valAx>
        <c:axId val="840715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15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97937099967764"/>
          <c:w val="0.6511278195488722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68BD76-221A-6A71-817F-DCCC3CFDD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3" customFormat="1" ht="20.25" x14ac:dyDescent="0.2">
      <c r="A1" s="52" t="s">
        <v>37</v>
      </c>
      <c r="E1" s="7"/>
      <c r="F1" s="7"/>
      <c r="G1" s="8" t="s">
        <v>38</v>
      </c>
      <c r="H1" s="9" t="s">
        <v>39</v>
      </c>
      <c r="I1" s="5" t="s">
        <v>35</v>
      </c>
      <c r="J1" s="5" t="s">
        <v>35</v>
      </c>
      <c r="K1" s="10">
        <v>52501.936099999999</v>
      </c>
      <c r="L1" s="10">
        <v>3.4535482000000002</v>
      </c>
    </row>
    <row r="2" spans="1:12" s="23" customFormat="1" ht="12.95" customHeight="1" x14ac:dyDescent="0.2">
      <c r="A2" s="23" t="s">
        <v>22</v>
      </c>
      <c r="B2" s="23" t="s">
        <v>38</v>
      </c>
      <c r="C2" s="24"/>
    </row>
    <row r="3" spans="1:12" s="23" customFormat="1" ht="12.95" customHeight="1" thickBot="1" x14ac:dyDescent="0.25"/>
    <row r="4" spans="1:12" s="23" customFormat="1" ht="12.95" customHeight="1" thickTop="1" thickBot="1" x14ac:dyDescent="0.25">
      <c r="A4" s="25" t="s">
        <v>36</v>
      </c>
      <c r="C4" s="26" t="s">
        <v>35</v>
      </c>
      <c r="D4" s="27" t="s">
        <v>35</v>
      </c>
      <c r="F4" s="28" t="str">
        <f>"F"&amp;E19</f>
        <v>F21</v>
      </c>
      <c r="G4" s="29" t="str">
        <f>"G"&amp;E19</f>
        <v>G21</v>
      </c>
    </row>
    <row r="5" spans="1:12" s="23" customFormat="1" ht="12.95" customHeight="1" thickTop="1" x14ac:dyDescent="0.2"/>
    <row r="6" spans="1:12" s="23" customFormat="1" ht="12.95" customHeight="1" x14ac:dyDescent="0.2">
      <c r="A6" s="30" t="s">
        <v>0</v>
      </c>
    </row>
    <row r="7" spans="1:12" s="23" customFormat="1" ht="12.95" customHeight="1" x14ac:dyDescent="0.2">
      <c r="A7" s="23" t="s">
        <v>1</v>
      </c>
      <c r="C7" s="23">
        <v>52501.936099999999</v>
      </c>
    </row>
    <row r="8" spans="1:12" s="23" customFormat="1" ht="12.95" customHeight="1" x14ac:dyDescent="0.2">
      <c r="A8" s="23" t="s">
        <v>2</v>
      </c>
      <c r="C8" s="23">
        <v>3.4535482000000002</v>
      </c>
      <c r="D8" s="31" t="s">
        <v>39</v>
      </c>
    </row>
    <row r="9" spans="1:12" s="23" customFormat="1" ht="12.95" customHeight="1" x14ac:dyDescent="0.2">
      <c r="A9" s="25" t="s">
        <v>28</v>
      </c>
      <c r="C9" s="32">
        <v>-9.5</v>
      </c>
      <c r="D9" s="23" t="s">
        <v>29</v>
      </c>
    </row>
    <row r="10" spans="1:12" s="23" customFormat="1" ht="12.95" customHeight="1" thickBot="1" x14ac:dyDescent="0.25">
      <c r="C10" s="33" t="s">
        <v>18</v>
      </c>
      <c r="D10" s="33" t="s">
        <v>19</v>
      </c>
    </row>
    <row r="11" spans="1:12" s="23" customFormat="1" ht="12.95" customHeight="1" x14ac:dyDescent="0.2">
      <c r="A11" s="23" t="s">
        <v>14</v>
      </c>
      <c r="C11" s="29">
        <f ca="1">INTERCEPT(INDIRECT($G$4):G992,INDIRECT($F$4):F992)</f>
        <v>-1.7072548503564385E-2</v>
      </c>
      <c r="D11" s="34"/>
    </row>
    <row r="12" spans="1:12" s="23" customFormat="1" ht="12.95" customHeight="1" x14ac:dyDescent="0.2">
      <c r="A12" s="23" t="s">
        <v>15</v>
      </c>
      <c r="C12" s="29">
        <f ca="1">SLOPE(INDIRECT($G$4):G992,INDIRECT($F$4):F992)</f>
        <v>-3.763837945537886E-6</v>
      </c>
      <c r="D12" s="34"/>
    </row>
    <row r="13" spans="1:12" s="23" customFormat="1" ht="12.95" customHeight="1" x14ac:dyDescent="0.2">
      <c r="A13" s="23" t="s">
        <v>17</v>
      </c>
      <c r="C13" s="34" t="s">
        <v>12</v>
      </c>
      <c r="D13" s="34"/>
    </row>
    <row r="14" spans="1:12" s="23" customFormat="1" ht="12.95" customHeight="1" x14ac:dyDescent="0.2"/>
    <row r="15" spans="1:12" s="23" customFormat="1" ht="12.95" customHeight="1" x14ac:dyDescent="0.2">
      <c r="A15" s="35" t="s">
        <v>16</v>
      </c>
      <c r="C15" s="36">
        <f ca="1">(C7+C11)+(C8+C12)*INT(MAX(F21:F3533))</f>
        <v>52501.919027451499</v>
      </c>
      <c r="D15" s="31" t="s">
        <v>30</v>
      </c>
      <c r="E15" s="37">
        <f ca="1">TODAY()+15018.5-B9/24</f>
        <v>60374.5</v>
      </c>
    </row>
    <row r="16" spans="1:12" s="23" customFormat="1" ht="12.95" customHeight="1" x14ac:dyDescent="0.2">
      <c r="A16" s="30" t="s">
        <v>3</v>
      </c>
      <c r="C16" s="38">
        <f ca="1">+C8+C12</f>
        <v>3.4535444361620544</v>
      </c>
      <c r="D16" s="31" t="s">
        <v>31</v>
      </c>
      <c r="E16" s="37">
        <f ca="1">ROUND(2*(E15-C15)/C16,0)/2+1</f>
        <v>2280.5</v>
      </c>
    </row>
    <row r="17" spans="1:17" s="23" customFormat="1" ht="12.95" customHeight="1" thickBot="1" x14ac:dyDescent="0.25">
      <c r="A17" s="31" t="s">
        <v>27</v>
      </c>
      <c r="C17" s="23">
        <f>COUNT(C21:C2191)</f>
        <v>19</v>
      </c>
      <c r="D17" s="31" t="s">
        <v>32</v>
      </c>
      <c r="E17" s="39">
        <f ca="1">+C15+C16*E16-15018.5-C9/24</f>
        <v>45359.622947452401</v>
      </c>
    </row>
    <row r="18" spans="1:17" s="23" customFormat="1" ht="12.95" customHeight="1" thickTop="1" thickBot="1" x14ac:dyDescent="0.25">
      <c r="A18" s="30" t="s">
        <v>4</v>
      </c>
      <c r="C18" s="40">
        <f ca="1">+C15</f>
        <v>52501.919027451499</v>
      </c>
      <c r="D18" s="41">
        <f ca="1">+C16</f>
        <v>3.4535444361620544</v>
      </c>
      <c r="E18" s="42" t="s">
        <v>33</v>
      </c>
    </row>
    <row r="19" spans="1:17" s="23" customFormat="1" ht="12.95" customHeight="1" thickTop="1" x14ac:dyDescent="0.2">
      <c r="A19" s="43" t="s">
        <v>34</v>
      </c>
      <c r="E19" s="44">
        <v>21</v>
      </c>
    </row>
    <row r="20" spans="1:17" s="23" customFormat="1" ht="12.95" customHeight="1" thickBot="1" x14ac:dyDescent="0.25">
      <c r="A20" s="33" t="s">
        <v>5</v>
      </c>
      <c r="B20" s="33" t="s">
        <v>6</v>
      </c>
      <c r="C20" s="33" t="s">
        <v>7</v>
      </c>
      <c r="D20" s="33" t="s">
        <v>11</v>
      </c>
      <c r="E20" s="33" t="s">
        <v>8</v>
      </c>
      <c r="F20" s="33" t="s">
        <v>9</v>
      </c>
      <c r="G20" s="33" t="s">
        <v>10</v>
      </c>
      <c r="H20" s="45" t="s">
        <v>39</v>
      </c>
      <c r="I20" s="45" t="s">
        <v>127</v>
      </c>
      <c r="J20" s="45" t="s">
        <v>128</v>
      </c>
      <c r="K20" s="45" t="s">
        <v>23</v>
      </c>
      <c r="L20" s="45" t="s">
        <v>24</v>
      </c>
      <c r="M20" s="45" t="s">
        <v>25</v>
      </c>
      <c r="N20" s="45" t="s">
        <v>26</v>
      </c>
      <c r="O20" s="45" t="s">
        <v>21</v>
      </c>
      <c r="P20" s="46" t="s">
        <v>20</v>
      </c>
      <c r="Q20" s="33" t="s">
        <v>13</v>
      </c>
    </row>
    <row r="21" spans="1:17" s="23" customFormat="1" ht="12.95" customHeight="1" x14ac:dyDescent="0.2">
      <c r="A21" s="47" t="s">
        <v>59</v>
      </c>
      <c r="B21" s="48" t="s">
        <v>126</v>
      </c>
      <c r="C21" s="47">
        <v>10002.677</v>
      </c>
      <c r="D21" s="24"/>
      <c r="E21" s="23">
        <f t="shared" ref="E21:E39" si="0">+(C21-C$7)/C$8</f>
        <v>-12305.969582240084</v>
      </c>
      <c r="F21" s="23">
        <f t="shared" ref="F21:F39" si="1">ROUND(2*E21,0)/2</f>
        <v>-12306</v>
      </c>
      <c r="G21" s="23">
        <f t="shared" ref="G21:G39" si="2">+C21-(C$7+F21*C$8)</f>
        <v>0.10504920000312268</v>
      </c>
      <c r="I21" s="23">
        <f>+G21</f>
        <v>0.10504920000312268</v>
      </c>
      <c r="O21" s="23">
        <f t="shared" ref="O21:O39" ca="1" si="3">+C$11+C$12*$F21</f>
        <v>2.9245241254224841E-2</v>
      </c>
      <c r="Q21" s="53" t="s">
        <v>129</v>
      </c>
    </row>
    <row r="22" spans="1:17" s="23" customFormat="1" ht="12.95" customHeight="1" x14ac:dyDescent="0.2">
      <c r="A22" s="47" t="s">
        <v>63</v>
      </c>
      <c r="B22" s="48" t="s">
        <v>126</v>
      </c>
      <c r="C22" s="47">
        <v>11190.643</v>
      </c>
      <c r="E22" s="23">
        <f t="shared" si="0"/>
        <v>-11961.985386507706</v>
      </c>
      <c r="F22" s="23">
        <f t="shared" si="1"/>
        <v>-11962</v>
      </c>
      <c r="G22" s="23">
        <f t="shared" si="2"/>
        <v>5.0468400000681868E-2</v>
      </c>
      <c r="I22" s="23">
        <f>+G22</f>
        <v>5.0468400000681868E-2</v>
      </c>
      <c r="O22" s="23">
        <f t="shared" ca="1" si="3"/>
        <v>2.7950481000959808E-2</v>
      </c>
      <c r="Q22" s="53" t="s">
        <v>130</v>
      </c>
    </row>
    <row r="23" spans="1:17" s="23" customFormat="1" ht="12.95" customHeight="1" x14ac:dyDescent="0.2">
      <c r="A23" s="47" t="s">
        <v>63</v>
      </c>
      <c r="B23" s="48" t="s">
        <v>126</v>
      </c>
      <c r="C23" s="47">
        <v>12585.870999999999</v>
      </c>
      <c r="D23" s="24"/>
      <c r="E23" s="23">
        <f t="shared" si="0"/>
        <v>-11557.986971196753</v>
      </c>
      <c r="F23" s="23">
        <f t="shared" si="1"/>
        <v>-11558</v>
      </c>
      <c r="G23" s="23">
        <f t="shared" si="2"/>
        <v>4.4995600001129787E-2</v>
      </c>
      <c r="I23" s="23">
        <f>+G23</f>
        <v>4.4995600001129787E-2</v>
      </c>
      <c r="O23" s="23">
        <f t="shared" ca="1" si="3"/>
        <v>2.6429890470962503E-2</v>
      </c>
      <c r="Q23" s="53" t="s">
        <v>131</v>
      </c>
    </row>
    <row r="24" spans="1:17" s="23" customFormat="1" ht="12.95" customHeight="1" x14ac:dyDescent="0.2">
      <c r="A24" s="47" t="s">
        <v>63</v>
      </c>
      <c r="B24" s="48" t="s">
        <v>126</v>
      </c>
      <c r="C24" s="47">
        <v>12585.880999999999</v>
      </c>
      <c r="D24" s="24"/>
      <c r="E24" s="23">
        <f t="shared" si="0"/>
        <v>-11557.984075624019</v>
      </c>
      <c r="F24" s="23">
        <f t="shared" si="1"/>
        <v>-11558</v>
      </c>
      <c r="G24" s="23">
        <f t="shared" si="2"/>
        <v>5.4995600001348066E-2</v>
      </c>
      <c r="I24" s="23">
        <f>+G24</f>
        <v>5.4995600001348066E-2</v>
      </c>
      <c r="O24" s="23">
        <f t="shared" ca="1" si="3"/>
        <v>2.6429890470962503E-2</v>
      </c>
      <c r="Q24" s="53" t="s">
        <v>131</v>
      </c>
    </row>
    <row r="25" spans="1:17" s="23" customFormat="1" ht="12.95" customHeight="1" x14ac:dyDescent="0.2">
      <c r="A25" s="47" t="s">
        <v>63</v>
      </c>
      <c r="B25" s="48" t="s">
        <v>126</v>
      </c>
      <c r="C25" s="47">
        <v>14077.822</v>
      </c>
      <c r="D25" s="24"/>
      <c r="E25" s="23">
        <f t="shared" si="0"/>
        <v>-11125.981707740462</v>
      </c>
      <c r="F25" s="23">
        <f t="shared" si="1"/>
        <v>-11126</v>
      </c>
      <c r="G25" s="23">
        <f t="shared" si="2"/>
        <v>6.3173200003802776E-2</v>
      </c>
      <c r="I25" s="23">
        <f>+G25</f>
        <v>6.3173200003802776E-2</v>
      </c>
      <c r="O25" s="23">
        <f t="shared" ca="1" si="3"/>
        <v>2.4803912478490134E-2</v>
      </c>
      <c r="Q25" s="53" t="s">
        <v>132</v>
      </c>
    </row>
    <row r="26" spans="1:17" s="23" customFormat="1" ht="12.95" customHeight="1" x14ac:dyDescent="0.2">
      <c r="A26" s="47" t="s">
        <v>63</v>
      </c>
      <c r="B26" s="48" t="s">
        <v>126</v>
      </c>
      <c r="C26" s="47">
        <v>14816.78</v>
      </c>
      <c r="D26" s="24"/>
      <c r="E26" s="23">
        <f t="shared" si="0"/>
        <v>-10912.011044177694</v>
      </c>
      <c r="F26" s="23">
        <f t="shared" si="1"/>
        <v>-10912</v>
      </c>
      <c r="G26" s="23">
        <f t="shared" si="2"/>
        <v>-3.8141599992741249E-2</v>
      </c>
      <c r="I26" s="23">
        <f>+G26</f>
        <v>-3.8141599992741249E-2</v>
      </c>
      <c r="O26" s="23">
        <f t="shared" ca="1" si="3"/>
        <v>2.3998451158145029E-2</v>
      </c>
      <c r="Q26" s="53" t="s">
        <v>133</v>
      </c>
    </row>
    <row r="27" spans="1:17" s="23" customFormat="1" ht="12.95" customHeight="1" x14ac:dyDescent="0.2">
      <c r="A27" s="47" t="s">
        <v>63</v>
      </c>
      <c r="B27" s="48" t="s">
        <v>126</v>
      </c>
      <c r="C27" s="47">
        <v>15151.831</v>
      </c>
      <c r="D27" s="24"/>
      <c r="E27" s="23">
        <f t="shared" si="0"/>
        <v>-10814.994590201462</v>
      </c>
      <c r="F27" s="23">
        <f t="shared" si="1"/>
        <v>-10815</v>
      </c>
      <c r="G27" s="23">
        <f t="shared" si="2"/>
        <v>1.868300000387535E-2</v>
      </c>
      <c r="I27" s="23">
        <f>+G27</f>
        <v>1.868300000387535E-2</v>
      </c>
      <c r="O27" s="23">
        <f t="shared" ca="1" si="3"/>
        <v>2.3633358877427853E-2</v>
      </c>
      <c r="Q27" s="49">
        <f t="shared" ref="Q21:Q39" si="4">+C27-15018.5</f>
        <v>133.33100000000013</v>
      </c>
    </row>
    <row r="28" spans="1:17" s="23" customFormat="1" ht="12.95" customHeight="1" x14ac:dyDescent="0.2">
      <c r="A28" s="47" t="s">
        <v>63</v>
      </c>
      <c r="B28" s="48" t="s">
        <v>126</v>
      </c>
      <c r="C28" s="47">
        <v>15890.823</v>
      </c>
      <c r="D28" s="24"/>
      <c r="E28" s="23">
        <f t="shared" si="0"/>
        <v>-10601.014081691404</v>
      </c>
      <c r="F28" s="23">
        <f t="shared" si="1"/>
        <v>-10601</v>
      </c>
      <c r="G28" s="23">
        <f t="shared" si="2"/>
        <v>-4.8631800000293879E-2</v>
      </c>
      <c r="I28" s="23">
        <f>+G28</f>
        <v>-4.8631800000293879E-2</v>
      </c>
      <c r="O28" s="23">
        <f t="shared" ca="1" si="3"/>
        <v>2.2827897557082748E-2</v>
      </c>
      <c r="Q28" s="49">
        <f t="shared" si="4"/>
        <v>872.32300000000032</v>
      </c>
    </row>
    <row r="29" spans="1:17" s="23" customFormat="1" ht="12.95" customHeight="1" x14ac:dyDescent="0.2">
      <c r="A29" s="47" t="s">
        <v>63</v>
      </c>
      <c r="B29" s="48" t="s">
        <v>126</v>
      </c>
      <c r="C29" s="47">
        <v>15897.81</v>
      </c>
      <c r="D29" s="24"/>
      <c r="E29" s="23">
        <f t="shared" si="0"/>
        <v>-10598.990945022861</v>
      </c>
      <c r="F29" s="23">
        <f t="shared" si="1"/>
        <v>-10599</v>
      </c>
      <c r="G29" s="23">
        <f t="shared" si="2"/>
        <v>3.127180000046792E-2</v>
      </c>
      <c r="I29" s="23">
        <f>+G29</f>
        <v>3.127180000046792E-2</v>
      </c>
      <c r="O29" s="23">
        <f t="shared" ca="1" si="3"/>
        <v>2.2820369881191668E-2</v>
      </c>
      <c r="Q29" s="49">
        <f t="shared" si="4"/>
        <v>879.30999999999949</v>
      </c>
    </row>
    <row r="30" spans="1:17" s="23" customFormat="1" ht="12.95" customHeight="1" x14ac:dyDescent="0.2">
      <c r="A30" s="47" t="s">
        <v>63</v>
      </c>
      <c r="B30" s="48" t="s">
        <v>126</v>
      </c>
      <c r="C30" s="47">
        <v>15942.701999999999</v>
      </c>
      <c r="D30" s="24"/>
      <c r="E30" s="23">
        <f t="shared" si="0"/>
        <v>-10585.992139909904</v>
      </c>
      <c r="F30" s="23">
        <f t="shared" si="1"/>
        <v>-10586</v>
      </c>
      <c r="G30" s="23">
        <f t="shared" si="2"/>
        <v>2.7145200003360515E-2</v>
      </c>
      <c r="I30" s="23">
        <f>+G30</f>
        <v>2.7145200003360515E-2</v>
      </c>
      <c r="O30" s="23">
        <f t="shared" ca="1" si="3"/>
        <v>2.2771439987899676E-2</v>
      </c>
      <c r="Q30" s="49">
        <f t="shared" si="4"/>
        <v>924.20199999999932</v>
      </c>
    </row>
    <row r="31" spans="1:17" s="23" customFormat="1" ht="12.95" customHeight="1" x14ac:dyDescent="0.2">
      <c r="A31" s="47" t="s">
        <v>63</v>
      </c>
      <c r="B31" s="48" t="s">
        <v>126</v>
      </c>
      <c r="C31" s="47">
        <v>15987.526</v>
      </c>
      <c r="D31" s="24"/>
      <c r="E31" s="23">
        <f t="shared" si="0"/>
        <v>-10573.013024691532</v>
      </c>
      <c r="F31" s="23">
        <f t="shared" si="1"/>
        <v>-10573</v>
      </c>
      <c r="G31" s="23">
        <f t="shared" si="2"/>
        <v>-4.4981400000324356E-2</v>
      </c>
      <c r="I31" s="23">
        <f>+G31</f>
        <v>-4.4981400000324356E-2</v>
      </c>
      <c r="O31" s="23">
        <f t="shared" ca="1" si="3"/>
        <v>2.2722510094607684E-2</v>
      </c>
      <c r="Q31" s="49">
        <f t="shared" si="4"/>
        <v>969.02599999999984</v>
      </c>
    </row>
    <row r="32" spans="1:17" s="23" customFormat="1" ht="12.95" customHeight="1" x14ac:dyDescent="0.2">
      <c r="A32" s="47" t="s">
        <v>63</v>
      </c>
      <c r="B32" s="48" t="s">
        <v>126</v>
      </c>
      <c r="C32" s="47">
        <v>16643.777999999998</v>
      </c>
      <c r="D32" s="24"/>
      <c r="E32" s="23">
        <f t="shared" si="0"/>
        <v>-10382.990484974265</v>
      </c>
      <c r="F32" s="23">
        <f t="shared" si="1"/>
        <v>-10383</v>
      </c>
      <c r="G32" s="23">
        <f t="shared" si="2"/>
        <v>3.2860600003914442E-2</v>
      </c>
      <c r="I32" s="23">
        <f>+G32</f>
        <v>3.2860600003914442E-2</v>
      </c>
      <c r="O32" s="23">
        <f t="shared" ca="1" si="3"/>
        <v>2.2007380884955484E-2</v>
      </c>
      <c r="Q32" s="49">
        <f t="shared" si="4"/>
        <v>1625.2779999999984</v>
      </c>
    </row>
    <row r="33" spans="1:17" s="23" customFormat="1" ht="12.95" customHeight="1" x14ac:dyDescent="0.2">
      <c r="A33" s="47" t="s">
        <v>99</v>
      </c>
      <c r="B33" s="48" t="s">
        <v>126</v>
      </c>
      <c r="C33" s="47">
        <v>26935.324000000001</v>
      </c>
      <c r="D33" s="24"/>
      <c r="E33" s="23">
        <f t="shared" si="0"/>
        <v>-7402.9984871790693</v>
      </c>
      <c r="F33" s="23">
        <f t="shared" si="1"/>
        <v>-7403</v>
      </c>
      <c r="G33" s="23">
        <f t="shared" si="2"/>
        <v>5.2246000013838056E-3</v>
      </c>
      <c r="I33" s="23">
        <f>+G33</f>
        <v>5.2246000013838056E-3</v>
      </c>
      <c r="O33" s="23">
        <f t="shared" ca="1" si="3"/>
        <v>1.0791143807252587E-2</v>
      </c>
      <c r="Q33" s="49">
        <f t="shared" si="4"/>
        <v>11916.824000000001</v>
      </c>
    </row>
    <row r="34" spans="1:17" s="23" customFormat="1" ht="12.95" customHeight="1" x14ac:dyDescent="0.2">
      <c r="A34" s="47" t="s">
        <v>104</v>
      </c>
      <c r="B34" s="48" t="s">
        <v>126</v>
      </c>
      <c r="C34" s="47">
        <v>29449.489000000001</v>
      </c>
      <c r="D34" s="24"/>
      <c r="E34" s="23">
        <f t="shared" si="0"/>
        <v>-6675.0037251543199</v>
      </c>
      <c r="F34" s="23">
        <f t="shared" si="1"/>
        <v>-6675</v>
      </c>
      <c r="G34" s="23">
        <f t="shared" si="2"/>
        <v>-1.2864999996963888E-2</v>
      </c>
      <c r="I34" s="23">
        <f>+G34</f>
        <v>-1.2864999996963888E-2</v>
      </c>
      <c r="O34" s="23">
        <f t="shared" ca="1" si="3"/>
        <v>8.0510697829010054E-3</v>
      </c>
      <c r="Q34" s="49">
        <f t="shared" si="4"/>
        <v>14430.989000000001</v>
      </c>
    </row>
    <row r="35" spans="1:17" s="23" customFormat="1" ht="12.95" customHeight="1" x14ac:dyDescent="0.2">
      <c r="A35" s="47" t="s">
        <v>109</v>
      </c>
      <c r="B35" s="48" t="s">
        <v>126</v>
      </c>
      <c r="C35" s="47">
        <v>29936.458999999999</v>
      </c>
      <c r="D35" s="24"/>
      <c r="E35" s="23">
        <f t="shared" si="0"/>
        <v>-6533.9980197757186</v>
      </c>
      <c r="F35" s="23">
        <f t="shared" si="1"/>
        <v>-6534</v>
      </c>
      <c r="G35" s="23">
        <f t="shared" si="2"/>
        <v>6.8387999999686144E-3</v>
      </c>
      <c r="I35" s="23">
        <f>+G35</f>
        <v>6.8387999999686144E-3</v>
      </c>
      <c r="O35" s="23">
        <f t="shared" ca="1" si="3"/>
        <v>7.5203686325801614E-3</v>
      </c>
      <c r="Q35" s="49">
        <f t="shared" si="4"/>
        <v>14917.958999999999</v>
      </c>
    </row>
    <row r="36" spans="1:17" s="23" customFormat="1" ht="12.95" customHeight="1" x14ac:dyDescent="0.2">
      <c r="A36" s="47" t="s">
        <v>114</v>
      </c>
      <c r="B36" s="48" t="s">
        <v>126</v>
      </c>
      <c r="C36" s="47">
        <v>30865.464</v>
      </c>
      <c r="D36" s="24"/>
      <c r="E36" s="23">
        <f t="shared" si="0"/>
        <v>-6264.997865094223</v>
      </c>
      <c r="F36" s="23">
        <f t="shared" si="1"/>
        <v>-6265</v>
      </c>
      <c r="G36" s="23">
        <f t="shared" si="2"/>
        <v>7.3730000003706664E-3</v>
      </c>
      <c r="I36" s="23">
        <f>+G36</f>
        <v>7.3730000003706664E-3</v>
      </c>
      <c r="O36" s="23">
        <f t="shared" ca="1" si="3"/>
        <v>6.5078962252304723E-3</v>
      </c>
      <c r="Q36" s="49">
        <f t="shared" si="4"/>
        <v>15846.964</v>
      </c>
    </row>
    <row r="37" spans="1:17" s="23" customFormat="1" ht="12.95" customHeight="1" x14ac:dyDescent="0.2">
      <c r="A37" s="50" t="s">
        <v>40</v>
      </c>
      <c r="B37" s="51" t="s">
        <v>41</v>
      </c>
      <c r="C37" s="50">
        <v>34515.847000000002</v>
      </c>
      <c r="D37" s="50">
        <v>2E-3</v>
      </c>
      <c r="E37" s="23">
        <f t="shared" si="0"/>
        <v>-5208.002917115793</v>
      </c>
      <c r="F37" s="23">
        <f t="shared" si="1"/>
        <v>-5208</v>
      </c>
      <c r="G37" s="23">
        <f t="shared" si="2"/>
        <v>-1.0074400001030881E-2</v>
      </c>
      <c r="I37" s="23">
        <f>+G37</f>
        <v>-1.0074400001030881E-2</v>
      </c>
      <c r="O37" s="23">
        <f t="shared" ca="1" si="3"/>
        <v>2.5295195167969256E-3</v>
      </c>
      <c r="Q37" s="49">
        <f t="shared" si="4"/>
        <v>19497.347000000002</v>
      </c>
    </row>
    <row r="38" spans="1:17" s="23" customFormat="1" ht="12.95" customHeight="1" x14ac:dyDescent="0.2">
      <c r="A38" s="47" t="s">
        <v>125</v>
      </c>
      <c r="B38" s="48" t="s">
        <v>126</v>
      </c>
      <c r="C38" s="47">
        <v>47791.305</v>
      </c>
      <c r="D38" s="24"/>
      <c r="E38" s="23">
        <f t="shared" si="0"/>
        <v>-1363.9974968352833</v>
      </c>
      <c r="F38" s="23">
        <f t="shared" si="1"/>
        <v>-1364</v>
      </c>
      <c r="G38" s="23">
        <f t="shared" si="2"/>
        <v>8.6448000001837499E-3</v>
      </c>
      <c r="I38" s="23">
        <f>+G38</f>
        <v>8.6448000001837499E-3</v>
      </c>
      <c r="O38" s="23">
        <f t="shared" ca="1" si="3"/>
        <v>-1.1938673545850709E-2</v>
      </c>
      <c r="Q38" s="49">
        <f t="shared" si="4"/>
        <v>32772.805</v>
      </c>
    </row>
    <row r="39" spans="1:17" x14ac:dyDescent="0.2">
      <c r="A39" s="6" t="s">
        <v>39</v>
      </c>
      <c r="C39" s="2">
        <v>52501.936099999999</v>
      </c>
      <c r="D39" s="2" t="s">
        <v>12</v>
      </c>
      <c r="E39">
        <f t="shared" si="0"/>
        <v>0</v>
      </c>
      <c r="F39">
        <f t="shared" si="1"/>
        <v>0</v>
      </c>
      <c r="G39">
        <f t="shared" si="2"/>
        <v>0</v>
      </c>
      <c r="H39">
        <f>+G39</f>
        <v>0</v>
      </c>
      <c r="O39">
        <f t="shared" ca="1" si="3"/>
        <v>-1.7072548503564385E-2</v>
      </c>
      <c r="Q39" s="1">
        <f t="shared" si="4"/>
        <v>37483.436099999999</v>
      </c>
    </row>
    <row r="40" spans="1:17" x14ac:dyDescent="0.2">
      <c r="B40" s="4"/>
      <c r="C40" s="2"/>
      <c r="D40" s="2"/>
    </row>
    <row r="41" spans="1:17" x14ac:dyDescent="0.2">
      <c r="B41" s="4"/>
      <c r="C41" s="2"/>
      <c r="D41" s="2"/>
    </row>
    <row r="42" spans="1:17" x14ac:dyDescent="0.2">
      <c r="C42" s="2"/>
      <c r="D42" s="2"/>
    </row>
    <row r="43" spans="1:17" x14ac:dyDescent="0.2">
      <c r="C43" s="2"/>
      <c r="D43" s="2"/>
    </row>
    <row r="44" spans="1:17" x14ac:dyDescent="0.2">
      <c r="C44" s="2"/>
      <c r="D44" s="2"/>
    </row>
    <row r="45" spans="1:17" x14ac:dyDescent="0.2">
      <c r="C45" s="2"/>
      <c r="D45" s="2"/>
    </row>
    <row r="46" spans="1:17" x14ac:dyDescent="0.2">
      <c r="C46" s="2"/>
      <c r="D46" s="2"/>
    </row>
    <row r="47" spans="1:17" x14ac:dyDescent="0.2">
      <c r="C47" s="2"/>
      <c r="D47" s="2"/>
    </row>
    <row r="48" spans="1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1"/>
  <sheetViews>
    <sheetView topLeftCell="A5" workbookViewId="0">
      <selection activeCell="A12" sqref="A12:C28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11" t="s">
        <v>42</v>
      </c>
      <c r="I1" s="12" t="s">
        <v>43</v>
      </c>
      <c r="J1" s="13" t="s">
        <v>44</v>
      </c>
    </row>
    <row r="2" spans="1:16" x14ac:dyDescent="0.2">
      <c r="I2" s="14" t="s">
        <v>45</v>
      </c>
      <c r="J2" s="15" t="s">
        <v>46</v>
      </c>
    </row>
    <row r="3" spans="1:16" x14ac:dyDescent="0.2">
      <c r="A3" s="16" t="s">
        <v>47</v>
      </c>
      <c r="I3" s="14" t="s">
        <v>48</v>
      </c>
      <c r="J3" s="15" t="s">
        <v>49</v>
      </c>
    </row>
    <row r="4" spans="1:16" x14ac:dyDescent="0.2">
      <c r="I4" s="14" t="s">
        <v>50</v>
      </c>
      <c r="J4" s="15" t="s">
        <v>49</v>
      </c>
    </row>
    <row r="5" spans="1:16" ht="13.5" thickBot="1" x14ac:dyDescent="0.25">
      <c r="I5" s="17" t="s">
        <v>51</v>
      </c>
      <c r="J5" s="18" t="s">
        <v>52</v>
      </c>
    </row>
    <row r="10" spans="1:16" ht="13.5" thickBot="1" x14ac:dyDescent="0.25"/>
    <row r="11" spans="1:16" ht="12.75" customHeight="1" thickBot="1" x14ac:dyDescent="0.25">
      <c r="A11" s="2" t="str">
        <f t="shared" ref="A11:A28" si="0">P11</f>
        <v> AJ 69.316 </v>
      </c>
      <c r="B11" s="4" t="str">
        <f t="shared" ref="B11:B28" si="1">IF(H11=INT(H11),"I","II")</f>
        <v>I</v>
      </c>
      <c r="C11" s="2">
        <f t="shared" ref="C11:C28" si="2">1*G11</f>
        <v>34515.847000000002</v>
      </c>
      <c r="D11" s="3" t="str">
        <f t="shared" ref="D11:D28" si="3">VLOOKUP(F11,I$1:J$5,2,FALSE)</f>
        <v>vis</v>
      </c>
      <c r="E11" s="19">
        <f>VLOOKUP(C11,Active!C$21:E$973,3,FALSE)</f>
        <v>-5208.002917115793</v>
      </c>
      <c r="F11" s="4" t="s">
        <v>51</v>
      </c>
      <c r="G11" s="3" t="str">
        <f t="shared" ref="G11:G28" si="4">MID(I11,3,LEN(I11)-3)</f>
        <v>34515.847</v>
      </c>
      <c r="H11" s="2">
        <f t="shared" ref="H11:H28" si="5">1*K11</f>
        <v>1326</v>
      </c>
      <c r="I11" s="20" t="s">
        <v>115</v>
      </c>
      <c r="J11" s="21" t="s">
        <v>116</v>
      </c>
      <c r="K11" s="20">
        <v>1326</v>
      </c>
      <c r="L11" s="20" t="s">
        <v>117</v>
      </c>
      <c r="M11" s="21" t="s">
        <v>118</v>
      </c>
      <c r="N11" s="21" t="s">
        <v>41</v>
      </c>
      <c r="O11" s="22" t="s">
        <v>119</v>
      </c>
      <c r="P11" s="22" t="s">
        <v>120</v>
      </c>
    </row>
    <row r="12" spans="1:16" ht="12.75" customHeight="1" thickBot="1" x14ac:dyDescent="0.25">
      <c r="A12" s="2" t="str">
        <f t="shared" si="0"/>
        <v> HC 88.1 </v>
      </c>
      <c r="B12" s="4" t="str">
        <f t="shared" si="1"/>
        <v>I</v>
      </c>
      <c r="C12" s="2">
        <f t="shared" si="2"/>
        <v>10002.677</v>
      </c>
      <c r="D12" s="3" t="str">
        <f t="shared" si="3"/>
        <v>vis</v>
      </c>
      <c r="E12" s="19">
        <f>VLOOKUP(C12,Active!C$21:E$973,3,FALSE)</f>
        <v>-12305.969582240084</v>
      </c>
      <c r="F12" s="4" t="s">
        <v>51</v>
      </c>
      <c r="G12" s="3" t="str">
        <f t="shared" si="4"/>
        <v>10002.677</v>
      </c>
      <c r="H12" s="2">
        <f t="shared" si="5"/>
        <v>-5772</v>
      </c>
      <c r="I12" s="20" t="s">
        <v>54</v>
      </c>
      <c r="J12" s="21" t="s">
        <v>55</v>
      </c>
      <c r="K12" s="20">
        <v>-5772</v>
      </c>
      <c r="L12" s="20" t="s">
        <v>56</v>
      </c>
      <c r="M12" s="21" t="s">
        <v>57</v>
      </c>
      <c r="N12" s="21"/>
      <c r="O12" s="22" t="s">
        <v>58</v>
      </c>
      <c r="P12" s="22" t="s">
        <v>59</v>
      </c>
    </row>
    <row r="13" spans="1:16" ht="12.75" customHeight="1" thickBot="1" x14ac:dyDescent="0.25">
      <c r="A13" s="2" t="str">
        <f t="shared" si="0"/>
        <v> HC 88.2 </v>
      </c>
      <c r="B13" s="4" t="str">
        <f t="shared" si="1"/>
        <v>I</v>
      </c>
      <c r="C13" s="2">
        <f t="shared" si="2"/>
        <v>11190.643</v>
      </c>
      <c r="D13" s="3" t="str">
        <f t="shared" si="3"/>
        <v>vis</v>
      </c>
      <c r="E13" s="19">
        <f>VLOOKUP(C13,Active!C$21:E$973,3,FALSE)</f>
        <v>-11961.985386507706</v>
      </c>
      <c r="F13" s="4" t="s">
        <v>51</v>
      </c>
      <c r="G13" s="3" t="str">
        <f t="shared" si="4"/>
        <v>11190.643</v>
      </c>
      <c r="H13" s="2">
        <f t="shared" si="5"/>
        <v>-5428</v>
      </c>
      <c r="I13" s="20" t="s">
        <v>60</v>
      </c>
      <c r="J13" s="21" t="s">
        <v>61</v>
      </c>
      <c r="K13" s="20">
        <v>-5428</v>
      </c>
      <c r="L13" s="20" t="s">
        <v>62</v>
      </c>
      <c r="M13" s="21" t="s">
        <v>57</v>
      </c>
      <c r="N13" s="21"/>
      <c r="O13" s="22" t="s">
        <v>58</v>
      </c>
      <c r="P13" s="22" t="s">
        <v>63</v>
      </c>
    </row>
    <row r="14" spans="1:16" ht="12.75" customHeight="1" thickBot="1" x14ac:dyDescent="0.25">
      <c r="A14" s="2" t="str">
        <f t="shared" si="0"/>
        <v> HC 88.2 </v>
      </c>
      <c r="B14" s="4" t="str">
        <f t="shared" si="1"/>
        <v>I</v>
      </c>
      <c r="C14" s="2">
        <f t="shared" si="2"/>
        <v>12585.870999999999</v>
      </c>
      <c r="D14" s="3" t="str">
        <f t="shared" si="3"/>
        <v>vis</v>
      </c>
      <c r="E14" s="19">
        <f>VLOOKUP(C14,Active!C$21:E$973,3,FALSE)</f>
        <v>-11557.986971196753</v>
      </c>
      <c r="F14" s="4" t="s">
        <v>51</v>
      </c>
      <c r="G14" s="3" t="str">
        <f t="shared" si="4"/>
        <v>12585.871</v>
      </c>
      <c r="H14" s="2">
        <f t="shared" si="5"/>
        <v>-5024</v>
      </c>
      <c r="I14" s="20" t="s">
        <v>64</v>
      </c>
      <c r="J14" s="21" t="s">
        <v>65</v>
      </c>
      <c r="K14" s="20">
        <v>-5024</v>
      </c>
      <c r="L14" s="20" t="s">
        <v>66</v>
      </c>
      <c r="M14" s="21" t="s">
        <v>57</v>
      </c>
      <c r="N14" s="21"/>
      <c r="O14" s="22" t="s">
        <v>58</v>
      </c>
      <c r="P14" s="22" t="s">
        <v>63</v>
      </c>
    </row>
    <row r="15" spans="1:16" ht="12.75" customHeight="1" thickBot="1" x14ac:dyDescent="0.25">
      <c r="A15" s="2" t="str">
        <f t="shared" si="0"/>
        <v> HC 88.2 </v>
      </c>
      <c r="B15" s="4" t="str">
        <f t="shared" si="1"/>
        <v>I</v>
      </c>
      <c r="C15" s="2">
        <f t="shared" si="2"/>
        <v>12585.880999999999</v>
      </c>
      <c r="D15" s="3" t="str">
        <f t="shared" si="3"/>
        <v>vis</v>
      </c>
      <c r="E15" s="19">
        <f>VLOOKUP(C15,Active!C$21:E$973,3,FALSE)</f>
        <v>-11557.984075624019</v>
      </c>
      <c r="F15" s="4" t="s">
        <v>51</v>
      </c>
      <c r="G15" s="3" t="str">
        <f t="shared" si="4"/>
        <v>12585.881</v>
      </c>
      <c r="H15" s="2">
        <f t="shared" si="5"/>
        <v>-5024</v>
      </c>
      <c r="I15" s="20" t="s">
        <v>67</v>
      </c>
      <c r="J15" s="21" t="s">
        <v>68</v>
      </c>
      <c r="K15" s="20">
        <v>-5024</v>
      </c>
      <c r="L15" s="20" t="s">
        <v>69</v>
      </c>
      <c r="M15" s="21" t="s">
        <v>57</v>
      </c>
      <c r="N15" s="21"/>
      <c r="O15" s="22" t="s">
        <v>58</v>
      </c>
      <c r="P15" s="22" t="s">
        <v>63</v>
      </c>
    </row>
    <row r="16" spans="1:16" ht="12.75" customHeight="1" thickBot="1" x14ac:dyDescent="0.25">
      <c r="A16" s="2" t="str">
        <f t="shared" si="0"/>
        <v> HC 88.2 </v>
      </c>
      <c r="B16" s="4" t="str">
        <f t="shared" si="1"/>
        <v>I</v>
      </c>
      <c r="C16" s="2">
        <f t="shared" si="2"/>
        <v>14077.822</v>
      </c>
      <c r="D16" s="3" t="str">
        <f t="shared" si="3"/>
        <v>vis</v>
      </c>
      <c r="E16" s="19">
        <f>VLOOKUP(C16,Active!C$21:E$973,3,FALSE)</f>
        <v>-11125.981707740462</v>
      </c>
      <c r="F16" s="4" t="s">
        <v>51</v>
      </c>
      <c r="G16" s="3" t="str">
        <f t="shared" si="4"/>
        <v>14077.822</v>
      </c>
      <c r="H16" s="2">
        <f t="shared" si="5"/>
        <v>-4592</v>
      </c>
      <c r="I16" s="20" t="s">
        <v>70</v>
      </c>
      <c r="J16" s="21" t="s">
        <v>71</v>
      </c>
      <c r="K16" s="20">
        <v>-4592</v>
      </c>
      <c r="L16" s="20" t="s">
        <v>72</v>
      </c>
      <c r="M16" s="21" t="s">
        <v>57</v>
      </c>
      <c r="N16" s="21"/>
      <c r="O16" s="22" t="s">
        <v>58</v>
      </c>
      <c r="P16" s="22" t="s">
        <v>63</v>
      </c>
    </row>
    <row r="17" spans="1:16" ht="12.75" customHeight="1" thickBot="1" x14ac:dyDescent="0.25">
      <c r="A17" s="2" t="str">
        <f t="shared" si="0"/>
        <v> HC 88.2 </v>
      </c>
      <c r="B17" s="4" t="str">
        <f t="shared" si="1"/>
        <v>I</v>
      </c>
      <c r="C17" s="2">
        <f t="shared" si="2"/>
        <v>14816.78</v>
      </c>
      <c r="D17" s="3" t="str">
        <f t="shared" si="3"/>
        <v>vis</v>
      </c>
      <c r="E17" s="19">
        <f>VLOOKUP(C17,Active!C$21:E$973,3,FALSE)</f>
        <v>-10912.011044177694</v>
      </c>
      <c r="F17" s="4" t="s">
        <v>51</v>
      </c>
      <c r="G17" s="3" t="str">
        <f t="shared" si="4"/>
        <v>14816.780</v>
      </c>
      <c r="H17" s="2">
        <f t="shared" si="5"/>
        <v>-4378</v>
      </c>
      <c r="I17" s="20" t="s">
        <v>73</v>
      </c>
      <c r="J17" s="21" t="s">
        <v>74</v>
      </c>
      <c r="K17" s="20">
        <v>-4378</v>
      </c>
      <c r="L17" s="20" t="s">
        <v>75</v>
      </c>
      <c r="M17" s="21" t="s">
        <v>57</v>
      </c>
      <c r="N17" s="21"/>
      <c r="O17" s="22" t="s">
        <v>58</v>
      </c>
      <c r="P17" s="22" t="s">
        <v>63</v>
      </c>
    </row>
    <row r="18" spans="1:16" ht="12.75" customHeight="1" thickBot="1" x14ac:dyDescent="0.25">
      <c r="A18" s="2" t="str">
        <f t="shared" si="0"/>
        <v> HC 88.2 </v>
      </c>
      <c r="B18" s="4" t="str">
        <f t="shared" si="1"/>
        <v>I</v>
      </c>
      <c r="C18" s="2">
        <f t="shared" si="2"/>
        <v>15151.831</v>
      </c>
      <c r="D18" s="3" t="str">
        <f t="shared" si="3"/>
        <v>vis</v>
      </c>
      <c r="E18" s="19">
        <f>VLOOKUP(C18,Active!C$21:E$973,3,FALSE)</f>
        <v>-10814.994590201462</v>
      </c>
      <c r="F18" s="4" t="s">
        <v>51</v>
      </c>
      <c r="G18" s="3" t="str">
        <f t="shared" si="4"/>
        <v>15151.831</v>
      </c>
      <c r="H18" s="2">
        <f t="shared" si="5"/>
        <v>-4281</v>
      </c>
      <c r="I18" s="20" t="s">
        <v>76</v>
      </c>
      <c r="J18" s="21" t="s">
        <v>77</v>
      </c>
      <c r="K18" s="20">
        <v>-4281</v>
      </c>
      <c r="L18" s="20" t="s">
        <v>78</v>
      </c>
      <c r="M18" s="21" t="s">
        <v>57</v>
      </c>
      <c r="N18" s="21"/>
      <c r="O18" s="22" t="s">
        <v>58</v>
      </c>
      <c r="P18" s="22" t="s">
        <v>63</v>
      </c>
    </row>
    <row r="19" spans="1:16" ht="12.75" customHeight="1" thickBot="1" x14ac:dyDescent="0.25">
      <c r="A19" s="2" t="str">
        <f t="shared" si="0"/>
        <v> HC 88.2 </v>
      </c>
      <c r="B19" s="4" t="str">
        <f t="shared" si="1"/>
        <v>I</v>
      </c>
      <c r="C19" s="2">
        <f t="shared" si="2"/>
        <v>15890.823</v>
      </c>
      <c r="D19" s="3" t="str">
        <f t="shared" si="3"/>
        <v>vis</v>
      </c>
      <c r="E19" s="19">
        <f>VLOOKUP(C19,Active!C$21:E$973,3,FALSE)</f>
        <v>-10601.014081691404</v>
      </c>
      <c r="F19" s="4" t="s">
        <v>51</v>
      </c>
      <c r="G19" s="3" t="str">
        <f t="shared" si="4"/>
        <v>15890.823</v>
      </c>
      <c r="H19" s="2">
        <f t="shared" si="5"/>
        <v>-4067</v>
      </c>
      <c r="I19" s="20" t="s">
        <v>79</v>
      </c>
      <c r="J19" s="21" t="s">
        <v>80</v>
      </c>
      <c r="K19" s="20">
        <v>-4067</v>
      </c>
      <c r="L19" s="20" t="s">
        <v>81</v>
      </c>
      <c r="M19" s="21" t="s">
        <v>57</v>
      </c>
      <c r="N19" s="21"/>
      <c r="O19" s="22" t="s">
        <v>58</v>
      </c>
      <c r="P19" s="22" t="s">
        <v>63</v>
      </c>
    </row>
    <row r="20" spans="1:16" ht="12.75" customHeight="1" thickBot="1" x14ac:dyDescent="0.25">
      <c r="A20" s="2" t="str">
        <f t="shared" si="0"/>
        <v> HC 88.2 </v>
      </c>
      <c r="B20" s="4" t="str">
        <f t="shared" si="1"/>
        <v>I</v>
      </c>
      <c r="C20" s="2">
        <f t="shared" si="2"/>
        <v>15897.81</v>
      </c>
      <c r="D20" s="3" t="str">
        <f t="shared" si="3"/>
        <v>vis</v>
      </c>
      <c r="E20" s="19">
        <f>VLOOKUP(C20,Active!C$21:E$973,3,FALSE)</f>
        <v>-10598.990945022861</v>
      </c>
      <c r="F20" s="4" t="s">
        <v>51</v>
      </c>
      <c r="G20" s="3" t="str">
        <f t="shared" si="4"/>
        <v>15897.810</v>
      </c>
      <c r="H20" s="2">
        <f t="shared" si="5"/>
        <v>-4065</v>
      </c>
      <c r="I20" s="20" t="s">
        <v>82</v>
      </c>
      <c r="J20" s="21" t="s">
        <v>83</v>
      </c>
      <c r="K20" s="20">
        <v>-4065</v>
      </c>
      <c r="L20" s="20" t="s">
        <v>84</v>
      </c>
      <c r="M20" s="21" t="s">
        <v>57</v>
      </c>
      <c r="N20" s="21"/>
      <c r="O20" s="22" t="s">
        <v>58</v>
      </c>
      <c r="P20" s="22" t="s">
        <v>63</v>
      </c>
    </row>
    <row r="21" spans="1:16" ht="12.75" customHeight="1" thickBot="1" x14ac:dyDescent="0.25">
      <c r="A21" s="2" t="str">
        <f t="shared" si="0"/>
        <v> HC 88.2 </v>
      </c>
      <c r="B21" s="4" t="str">
        <f t="shared" si="1"/>
        <v>I</v>
      </c>
      <c r="C21" s="2">
        <f t="shared" si="2"/>
        <v>15942.701999999999</v>
      </c>
      <c r="D21" s="3" t="str">
        <f t="shared" si="3"/>
        <v>vis</v>
      </c>
      <c r="E21" s="19">
        <f>VLOOKUP(C21,Active!C$21:E$973,3,FALSE)</f>
        <v>-10585.992139909904</v>
      </c>
      <c r="F21" s="4" t="s">
        <v>51</v>
      </c>
      <c r="G21" s="3" t="str">
        <f t="shared" si="4"/>
        <v>15942.702</v>
      </c>
      <c r="H21" s="2">
        <f t="shared" si="5"/>
        <v>-4052</v>
      </c>
      <c r="I21" s="20" t="s">
        <v>85</v>
      </c>
      <c r="J21" s="21" t="s">
        <v>86</v>
      </c>
      <c r="K21" s="20">
        <v>-4052</v>
      </c>
      <c r="L21" s="20" t="s">
        <v>87</v>
      </c>
      <c r="M21" s="21" t="s">
        <v>57</v>
      </c>
      <c r="N21" s="21"/>
      <c r="O21" s="22" t="s">
        <v>58</v>
      </c>
      <c r="P21" s="22" t="s">
        <v>63</v>
      </c>
    </row>
    <row r="22" spans="1:16" ht="12.75" customHeight="1" thickBot="1" x14ac:dyDescent="0.25">
      <c r="A22" s="2" t="str">
        <f t="shared" si="0"/>
        <v> HC 88.2 </v>
      </c>
      <c r="B22" s="4" t="str">
        <f t="shared" si="1"/>
        <v>I</v>
      </c>
      <c r="C22" s="2">
        <f t="shared" si="2"/>
        <v>15987.526</v>
      </c>
      <c r="D22" s="3" t="str">
        <f t="shared" si="3"/>
        <v>vis</v>
      </c>
      <c r="E22" s="19">
        <f>VLOOKUP(C22,Active!C$21:E$973,3,FALSE)</f>
        <v>-10573.013024691532</v>
      </c>
      <c r="F22" s="4" t="s">
        <v>51</v>
      </c>
      <c r="G22" s="3" t="str">
        <f t="shared" si="4"/>
        <v>15987.526</v>
      </c>
      <c r="H22" s="2">
        <f t="shared" si="5"/>
        <v>-4039</v>
      </c>
      <c r="I22" s="20" t="s">
        <v>88</v>
      </c>
      <c r="J22" s="21" t="s">
        <v>89</v>
      </c>
      <c r="K22" s="20">
        <v>-4039</v>
      </c>
      <c r="L22" s="20" t="s">
        <v>90</v>
      </c>
      <c r="M22" s="21" t="s">
        <v>57</v>
      </c>
      <c r="N22" s="21"/>
      <c r="O22" s="22" t="s">
        <v>58</v>
      </c>
      <c r="P22" s="22" t="s">
        <v>63</v>
      </c>
    </row>
    <row r="23" spans="1:16" ht="12.75" customHeight="1" thickBot="1" x14ac:dyDescent="0.25">
      <c r="A23" s="2" t="str">
        <f t="shared" si="0"/>
        <v> HC 88.2 </v>
      </c>
      <c r="B23" s="4" t="str">
        <f t="shared" si="1"/>
        <v>I</v>
      </c>
      <c r="C23" s="2">
        <f t="shared" si="2"/>
        <v>16643.777999999998</v>
      </c>
      <c r="D23" s="3" t="str">
        <f t="shared" si="3"/>
        <v>vis</v>
      </c>
      <c r="E23" s="19">
        <f>VLOOKUP(C23,Active!C$21:E$973,3,FALSE)</f>
        <v>-10382.990484974265</v>
      </c>
      <c r="F23" s="4" t="s">
        <v>51</v>
      </c>
      <c r="G23" s="3" t="str">
        <f t="shared" si="4"/>
        <v>16643.778</v>
      </c>
      <c r="H23" s="2">
        <f t="shared" si="5"/>
        <v>-3849</v>
      </c>
      <c r="I23" s="20" t="s">
        <v>91</v>
      </c>
      <c r="J23" s="21" t="s">
        <v>92</v>
      </c>
      <c r="K23" s="20">
        <v>-3849</v>
      </c>
      <c r="L23" s="20" t="s">
        <v>93</v>
      </c>
      <c r="M23" s="21" t="s">
        <v>57</v>
      </c>
      <c r="N23" s="21"/>
      <c r="O23" s="22" t="s">
        <v>58</v>
      </c>
      <c r="P23" s="22" t="s">
        <v>63</v>
      </c>
    </row>
    <row r="24" spans="1:16" ht="12.75" customHeight="1" thickBot="1" x14ac:dyDescent="0.25">
      <c r="A24" s="2" t="str">
        <f t="shared" si="0"/>
        <v> CTAO 9 </v>
      </c>
      <c r="B24" s="4" t="str">
        <f t="shared" si="1"/>
        <v>I</v>
      </c>
      <c r="C24" s="2">
        <f t="shared" si="2"/>
        <v>26935.324000000001</v>
      </c>
      <c r="D24" s="3" t="str">
        <f t="shared" si="3"/>
        <v>vis</v>
      </c>
      <c r="E24" s="19">
        <f>VLOOKUP(C24,Active!C$21:E$973,3,FALSE)</f>
        <v>-7402.9984871790693</v>
      </c>
      <c r="F24" s="4" t="s">
        <v>51</v>
      </c>
      <c r="G24" s="3" t="str">
        <f t="shared" si="4"/>
        <v>26935.324</v>
      </c>
      <c r="H24" s="2">
        <f t="shared" si="5"/>
        <v>-869</v>
      </c>
      <c r="I24" s="20" t="s">
        <v>94</v>
      </c>
      <c r="J24" s="21" t="s">
        <v>95</v>
      </c>
      <c r="K24" s="20">
        <v>-869</v>
      </c>
      <c r="L24" s="20" t="s">
        <v>96</v>
      </c>
      <c r="M24" s="21" t="s">
        <v>97</v>
      </c>
      <c r="N24" s="21"/>
      <c r="O24" s="22" t="s">
        <v>98</v>
      </c>
      <c r="P24" s="22" t="s">
        <v>99</v>
      </c>
    </row>
    <row r="25" spans="1:16" ht="12.75" customHeight="1" thickBot="1" x14ac:dyDescent="0.25">
      <c r="A25" s="2" t="str">
        <f t="shared" si="0"/>
        <v> HA 113.77 </v>
      </c>
      <c r="B25" s="4" t="str">
        <f t="shared" si="1"/>
        <v>I</v>
      </c>
      <c r="C25" s="2">
        <f t="shared" si="2"/>
        <v>29449.489000000001</v>
      </c>
      <c r="D25" s="3" t="str">
        <f t="shared" si="3"/>
        <v>vis</v>
      </c>
      <c r="E25" s="19">
        <f>VLOOKUP(C25,Active!C$21:E$973,3,FALSE)</f>
        <v>-6675.0037251543199</v>
      </c>
      <c r="F25" s="4" t="s">
        <v>51</v>
      </c>
      <c r="G25" s="3" t="str">
        <f t="shared" si="4"/>
        <v>29449.489</v>
      </c>
      <c r="H25" s="2">
        <f t="shared" si="5"/>
        <v>-141</v>
      </c>
      <c r="I25" s="20" t="s">
        <v>100</v>
      </c>
      <c r="J25" s="21" t="s">
        <v>101</v>
      </c>
      <c r="K25" s="20">
        <v>-141</v>
      </c>
      <c r="L25" s="20" t="s">
        <v>102</v>
      </c>
      <c r="M25" s="21" t="s">
        <v>53</v>
      </c>
      <c r="N25" s="21"/>
      <c r="O25" s="22" t="s">
        <v>103</v>
      </c>
      <c r="P25" s="22" t="s">
        <v>104</v>
      </c>
    </row>
    <row r="26" spans="1:16" ht="12.75" customHeight="1" thickBot="1" x14ac:dyDescent="0.25">
      <c r="A26" s="2" t="str">
        <f t="shared" si="0"/>
        <v> AC 20 </v>
      </c>
      <c r="B26" s="4" t="str">
        <f t="shared" si="1"/>
        <v>I</v>
      </c>
      <c r="C26" s="2">
        <f t="shared" si="2"/>
        <v>29936.458999999999</v>
      </c>
      <c r="D26" s="3" t="str">
        <f t="shared" si="3"/>
        <v>vis</v>
      </c>
      <c r="E26" s="19">
        <f>VLOOKUP(C26,Active!C$21:E$973,3,FALSE)</f>
        <v>-6533.9980197757186</v>
      </c>
      <c r="F26" s="4" t="s">
        <v>51</v>
      </c>
      <c r="G26" s="3" t="str">
        <f t="shared" si="4"/>
        <v>29936.459</v>
      </c>
      <c r="H26" s="2">
        <f t="shared" si="5"/>
        <v>0</v>
      </c>
      <c r="I26" s="20" t="s">
        <v>105</v>
      </c>
      <c r="J26" s="21" t="s">
        <v>106</v>
      </c>
      <c r="K26" s="20">
        <v>0</v>
      </c>
      <c r="L26" s="20" t="s">
        <v>107</v>
      </c>
      <c r="M26" s="21" t="s">
        <v>53</v>
      </c>
      <c r="N26" s="21"/>
      <c r="O26" s="22" t="s">
        <v>108</v>
      </c>
      <c r="P26" s="22" t="s">
        <v>109</v>
      </c>
    </row>
    <row r="27" spans="1:16" ht="12.75" customHeight="1" thickBot="1" x14ac:dyDescent="0.25">
      <c r="A27" s="2" t="str">
        <f t="shared" si="0"/>
        <v> PZ 7.88 </v>
      </c>
      <c r="B27" s="4" t="str">
        <f t="shared" si="1"/>
        <v>I</v>
      </c>
      <c r="C27" s="2">
        <f t="shared" si="2"/>
        <v>30865.464</v>
      </c>
      <c r="D27" s="3" t="str">
        <f t="shared" si="3"/>
        <v>vis</v>
      </c>
      <c r="E27" s="19">
        <f>VLOOKUP(C27,Active!C$21:E$973,3,FALSE)</f>
        <v>-6264.997865094223</v>
      </c>
      <c r="F27" s="4" t="s">
        <v>51</v>
      </c>
      <c r="G27" s="3" t="str">
        <f t="shared" si="4"/>
        <v>30865.464</v>
      </c>
      <c r="H27" s="2">
        <f t="shared" si="5"/>
        <v>269</v>
      </c>
      <c r="I27" s="20" t="s">
        <v>110</v>
      </c>
      <c r="J27" s="21" t="s">
        <v>111</v>
      </c>
      <c r="K27" s="20">
        <v>269</v>
      </c>
      <c r="L27" s="20" t="s">
        <v>112</v>
      </c>
      <c r="M27" s="21" t="s">
        <v>53</v>
      </c>
      <c r="N27" s="21"/>
      <c r="O27" s="22" t="s">
        <v>113</v>
      </c>
      <c r="P27" s="22" t="s">
        <v>114</v>
      </c>
    </row>
    <row r="28" spans="1:16" ht="12.75" customHeight="1" thickBot="1" x14ac:dyDescent="0.25">
      <c r="A28" s="2" t="str">
        <f t="shared" si="0"/>
        <v> VSSC 73 </v>
      </c>
      <c r="B28" s="4" t="str">
        <f t="shared" si="1"/>
        <v>I</v>
      </c>
      <c r="C28" s="2">
        <f t="shared" si="2"/>
        <v>47791.305</v>
      </c>
      <c r="D28" s="3" t="str">
        <f t="shared" si="3"/>
        <v>vis</v>
      </c>
      <c r="E28" s="19">
        <f>VLOOKUP(C28,Active!C$21:E$973,3,FALSE)</f>
        <v>-1363.9974968352833</v>
      </c>
      <c r="F28" s="4" t="s">
        <v>51</v>
      </c>
      <c r="G28" s="3" t="str">
        <f t="shared" si="4"/>
        <v>47791.305</v>
      </c>
      <c r="H28" s="2">
        <f t="shared" si="5"/>
        <v>5170</v>
      </c>
      <c r="I28" s="20" t="s">
        <v>121</v>
      </c>
      <c r="J28" s="21" t="s">
        <v>122</v>
      </c>
      <c r="K28" s="20">
        <v>5170</v>
      </c>
      <c r="L28" s="20" t="s">
        <v>123</v>
      </c>
      <c r="M28" s="21" t="s">
        <v>97</v>
      </c>
      <c r="N28" s="21"/>
      <c r="O28" s="22" t="s">
        <v>124</v>
      </c>
      <c r="P28" s="22" t="s">
        <v>125</v>
      </c>
    </row>
    <row r="29" spans="1:16" x14ac:dyDescent="0.2">
      <c r="B29" s="4"/>
      <c r="E29" s="19"/>
      <c r="F29" s="4"/>
    </row>
    <row r="30" spans="1:16" x14ac:dyDescent="0.2">
      <c r="B30" s="4"/>
      <c r="E30" s="19"/>
      <c r="F30" s="4"/>
    </row>
    <row r="31" spans="1:16" x14ac:dyDescent="0.2">
      <c r="B31" s="4"/>
      <c r="E31" s="19"/>
      <c r="F31" s="4"/>
    </row>
    <row r="32" spans="1:16" x14ac:dyDescent="0.2">
      <c r="B32" s="4"/>
      <c r="E32" s="19"/>
      <c r="F32" s="4"/>
    </row>
    <row r="33" spans="2:6" x14ac:dyDescent="0.2">
      <c r="B33" s="4"/>
      <c r="E33" s="19"/>
      <c r="F33" s="4"/>
    </row>
    <row r="34" spans="2:6" x14ac:dyDescent="0.2">
      <c r="B34" s="4"/>
      <c r="E34" s="19"/>
      <c r="F34" s="4"/>
    </row>
    <row r="35" spans="2:6" x14ac:dyDescent="0.2">
      <c r="B35" s="4"/>
      <c r="E35" s="19"/>
      <c r="F35" s="4"/>
    </row>
    <row r="36" spans="2:6" x14ac:dyDescent="0.2">
      <c r="B36" s="4"/>
      <c r="E36" s="19"/>
      <c r="F36" s="4"/>
    </row>
    <row r="37" spans="2:6" x14ac:dyDescent="0.2">
      <c r="B37" s="4"/>
      <c r="E37" s="19"/>
      <c r="F37" s="4"/>
    </row>
    <row r="38" spans="2:6" x14ac:dyDescent="0.2">
      <c r="B38" s="4"/>
      <c r="E38" s="19"/>
      <c r="F38" s="4"/>
    </row>
    <row r="39" spans="2:6" x14ac:dyDescent="0.2">
      <c r="B39" s="4"/>
      <c r="E39" s="19"/>
      <c r="F39" s="4"/>
    </row>
    <row r="40" spans="2:6" x14ac:dyDescent="0.2">
      <c r="B40" s="4"/>
      <c r="E40" s="19"/>
      <c r="F40" s="4"/>
    </row>
    <row r="41" spans="2:6" x14ac:dyDescent="0.2">
      <c r="B41" s="4"/>
      <c r="E41" s="19"/>
      <c r="F41" s="4"/>
    </row>
    <row r="42" spans="2:6" x14ac:dyDescent="0.2">
      <c r="B42" s="4"/>
      <c r="E42" s="19"/>
      <c r="F42" s="4"/>
    </row>
    <row r="43" spans="2:6" x14ac:dyDescent="0.2">
      <c r="B43" s="4"/>
      <c r="E43" s="19"/>
      <c r="F43" s="4"/>
    </row>
    <row r="44" spans="2:6" x14ac:dyDescent="0.2">
      <c r="B44" s="4"/>
      <c r="E44" s="19"/>
      <c r="F44" s="4"/>
    </row>
    <row r="45" spans="2:6" x14ac:dyDescent="0.2">
      <c r="B45" s="4"/>
      <c r="E45" s="19"/>
      <c r="F45" s="4"/>
    </row>
    <row r="46" spans="2:6" x14ac:dyDescent="0.2">
      <c r="B46" s="4"/>
      <c r="E46" s="19"/>
      <c r="F46" s="4"/>
    </row>
    <row r="47" spans="2:6" x14ac:dyDescent="0.2">
      <c r="B47" s="4"/>
      <c r="E47" s="19"/>
      <c r="F47" s="4"/>
    </row>
    <row r="48" spans="2:6" x14ac:dyDescent="0.2">
      <c r="B48" s="4"/>
      <c r="E48" s="19"/>
      <c r="F48" s="4"/>
    </row>
    <row r="49" spans="2:6" x14ac:dyDescent="0.2">
      <c r="B49" s="4"/>
      <c r="E49" s="19"/>
      <c r="F49" s="4"/>
    </row>
    <row r="50" spans="2:6" x14ac:dyDescent="0.2">
      <c r="B50" s="4"/>
      <c r="E50" s="19"/>
      <c r="F50" s="4"/>
    </row>
    <row r="51" spans="2:6" x14ac:dyDescent="0.2">
      <c r="B51" s="4"/>
      <c r="E51" s="19"/>
      <c r="F51" s="4"/>
    </row>
    <row r="52" spans="2:6" x14ac:dyDescent="0.2">
      <c r="B52" s="4"/>
      <c r="E52" s="19"/>
      <c r="F52" s="4"/>
    </row>
    <row r="53" spans="2:6" x14ac:dyDescent="0.2">
      <c r="B53" s="4"/>
      <c r="E53" s="19"/>
      <c r="F53" s="4"/>
    </row>
    <row r="54" spans="2:6" x14ac:dyDescent="0.2">
      <c r="B54" s="4"/>
      <c r="F54" s="4"/>
    </row>
    <row r="55" spans="2:6" x14ac:dyDescent="0.2">
      <c r="B55" s="4"/>
      <c r="F55" s="4"/>
    </row>
    <row r="56" spans="2:6" x14ac:dyDescent="0.2">
      <c r="B56" s="4"/>
      <c r="F56" s="4"/>
    </row>
    <row r="57" spans="2:6" x14ac:dyDescent="0.2">
      <c r="B57" s="4"/>
      <c r="F57" s="4"/>
    </row>
    <row r="58" spans="2:6" x14ac:dyDescent="0.2">
      <c r="B58" s="4"/>
      <c r="F58" s="4"/>
    </row>
    <row r="59" spans="2:6" x14ac:dyDescent="0.2">
      <c r="B59" s="4"/>
      <c r="F59" s="4"/>
    </row>
    <row r="60" spans="2:6" x14ac:dyDescent="0.2">
      <c r="B60" s="4"/>
      <c r="F60" s="4"/>
    </row>
    <row r="61" spans="2:6" x14ac:dyDescent="0.2">
      <c r="B61" s="4"/>
      <c r="F61" s="4"/>
    </row>
    <row r="62" spans="2:6" x14ac:dyDescent="0.2">
      <c r="B62" s="4"/>
      <c r="F62" s="4"/>
    </row>
    <row r="63" spans="2:6" x14ac:dyDescent="0.2">
      <c r="B63" s="4"/>
      <c r="F63" s="4"/>
    </row>
    <row r="64" spans="2:6" x14ac:dyDescent="0.2">
      <c r="B64" s="4"/>
      <c r="F64" s="4"/>
    </row>
    <row r="65" spans="2:6" x14ac:dyDescent="0.2">
      <c r="B65" s="4"/>
      <c r="F65" s="4"/>
    </row>
    <row r="66" spans="2:6" x14ac:dyDescent="0.2">
      <c r="B66" s="4"/>
      <c r="F66" s="4"/>
    </row>
    <row r="67" spans="2:6" x14ac:dyDescent="0.2">
      <c r="B67" s="4"/>
      <c r="F67" s="4"/>
    </row>
    <row r="68" spans="2:6" x14ac:dyDescent="0.2">
      <c r="B68" s="4"/>
      <c r="F68" s="4"/>
    </row>
    <row r="69" spans="2:6" x14ac:dyDescent="0.2">
      <c r="B69" s="4"/>
      <c r="F69" s="4"/>
    </row>
    <row r="70" spans="2:6" x14ac:dyDescent="0.2">
      <c r="B70" s="4"/>
      <c r="F70" s="4"/>
    </row>
    <row r="71" spans="2:6" x14ac:dyDescent="0.2">
      <c r="B71" s="4"/>
      <c r="F71" s="4"/>
    </row>
    <row r="72" spans="2:6" x14ac:dyDescent="0.2">
      <c r="B72" s="4"/>
      <c r="F72" s="4"/>
    </row>
    <row r="73" spans="2:6" x14ac:dyDescent="0.2">
      <c r="B73" s="4"/>
      <c r="F73" s="4"/>
    </row>
    <row r="74" spans="2:6" x14ac:dyDescent="0.2">
      <c r="B74" s="4"/>
      <c r="F74" s="4"/>
    </row>
    <row r="75" spans="2:6" x14ac:dyDescent="0.2">
      <c r="B75" s="4"/>
      <c r="F75" s="4"/>
    </row>
    <row r="76" spans="2:6" x14ac:dyDescent="0.2">
      <c r="B76" s="4"/>
      <c r="F76" s="4"/>
    </row>
    <row r="77" spans="2:6" x14ac:dyDescent="0.2">
      <c r="B77" s="4"/>
      <c r="F77" s="4"/>
    </row>
    <row r="78" spans="2:6" x14ac:dyDescent="0.2">
      <c r="B78" s="4"/>
      <c r="F78" s="4"/>
    </row>
    <row r="79" spans="2:6" x14ac:dyDescent="0.2">
      <c r="B79" s="4"/>
      <c r="F79" s="4"/>
    </row>
    <row r="80" spans="2: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  <row r="824" spans="2:6" x14ac:dyDescent="0.2">
      <c r="B824" s="4"/>
      <c r="F824" s="4"/>
    </row>
    <row r="825" spans="2:6" x14ac:dyDescent="0.2">
      <c r="B825" s="4"/>
      <c r="F825" s="4"/>
    </row>
    <row r="826" spans="2:6" x14ac:dyDescent="0.2">
      <c r="B826" s="4"/>
      <c r="F826" s="4"/>
    </row>
    <row r="827" spans="2:6" x14ac:dyDescent="0.2">
      <c r="B827" s="4"/>
      <c r="F827" s="4"/>
    </row>
    <row r="828" spans="2:6" x14ac:dyDescent="0.2">
      <c r="B828" s="4"/>
      <c r="F828" s="4"/>
    </row>
    <row r="829" spans="2:6" x14ac:dyDescent="0.2">
      <c r="B829" s="4"/>
      <c r="F829" s="4"/>
    </row>
    <row r="830" spans="2:6" x14ac:dyDescent="0.2">
      <c r="B830" s="4"/>
      <c r="F830" s="4"/>
    </row>
    <row r="831" spans="2:6" x14ac:dyDescent="0.2">
      <c r="B831" s="4"/>
      <c r="F831" s="4"/>
    </row>
    <row r="832" spans="2:6" x14ac:dyDescent="0.2">
      <c r="B832" s="4"/>
      <c r="F832" s="4"/>
    </row>
    <row r="833" spans="2:6" x14ac:dyDescent="0.2">
      <c r="B833" s="4"/>
      <c r="F833" s="4"/>
    </row>
    <row r="834" spans="2:6" x14ac:dyDescent="0.2">
      <c r="B834" s="4"/>
      <c r="F834" s="4"/>
    </row>
    <row r="835" spans="2:6" x14ac:dyDescent="0.2">
      <c r="B835" s="4"/>
      <c r="F835" s="4"/>
    </row>
    <row r="836" spans="2:6" x14ac:dyDescent="0.2">
      <c r="B836" s="4"/>
      <c r="F836" s="4"/>
    </row>
    <row r="837" spans="2:6" x14ac:dyDescent="0.2">
      <c r="B837" s="4"/>
      <c r="F837" s="4"/>
    </row>
    <row r="838" spans="2:6" x14ac:dyDescent="0.2">
      <c r="B838" s="4"/>
      <c r="F838" s="4"/>
    </row>
    <row r="839" spans="2:6" x14ac:dyDescent="0.2">
      <c r="B839" s="4"/>
      <c r="F839" s="4"/>
    </row>
    <row r="840" spans="2:6" x14ac:dyDescent="0.2">
      <c r="B840" s="4"/>
      <c r="F840" s="4"/>
    </row>
    <row r="841" spans="2:6" x14ac:dyDescent="0.2">
      <c r="B841" s="4"/>
      <c r="F841" s="4"/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2024-03-05T07:06:40Z</dcterms:modified>
</cp:coreProperties>
</file>