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9523B312-6C6F-486E-8874-32591ECE080B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  <sheet name="Active 2" sheetId="2" r:id="rId2"/>
  </sheets>
  <calcPr calcId="181029"/>
</workbook>
</file>

<file path=xl/calcChain.xml><?xml version="1.0" encoding="utf-8"?>
<calcChain xmlns="http://schemas.openxmlformats.org/spreadsheetml/2006/main">
  <c r="F11" i="2" l="1"/>
  <c r="E22" i="2"/>
  <c r="F22" i="2"/>
  <c r="G22" i="2"/>
  <c r="I22" i="2"/>
  <c r="E23" i="2"/>
  <c r="F23" i="2"/>
  <c r="G23" i="2"/>
  <c r="I23" i="2"/>
  <c r="E24" i="2"/>
  <c r="F24" i="2"/>
  <c r="G24" i="2"/>
  <c r="I24" i="2"/>
  <c r="E25" i="2"/>
  <c r="F25" i="2"/>
  <c r="G25" i="2"/>
  <c r="I25" i="2"/>
  <c r="G11" i="2"/>
  <c r="E14" i="2"/>
  <c r="E15" i="2" s="1"/>
  <c r="H20" i="2"/>
  <c r="A21" i="2"/>
  <c r="C21" i="2"/>
  <c r="C17" i="2"/>
  <c r="Q21" i="2"/>
  <c r="Q22" i="2"/>
  <c r="Q23" i="2"/>
  <c r="Q24" i="2"/>
  <c r="Q25" i="2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F11" i="1"/>
  <c r="Q22" i="1"/>
  <c r="Q23" i="1"/>
  <c r="Q24" i="1"/>
  <c r="Q25" i="1"/>
  <c r="C21" i="1"/>
  <c r="E21" i="1"/>
  <c r="F21" i="1"/>
  <c r="G21" i="1"/>
  <c r="H21" i="1"/>
  <c r="A21" i="1"/>
  <c r="H20" i="1"/>
  <c r="G11" i="1"/>
  <c r="E14" i="1"/>
  <c r="E15" i="1" s="1"/>
  <c r="C17" i="1"/>
  <c r="Q21" i="1"/>
  <c r="E21" i="2"/>
  <c r="F21" i="2"/>
  <c r="G21" i="2"/>
  <c r="H21" i="2"/>
  <c r="C12" i="1"/>
  <c r="C11" i="2"/>
  <c r="C12" i="2"/>
  <c r="C11" i="1"/>
  <c r="O23" i="1" l="1"/>
  <c r="S23" i="1" s="1"/>
  <c r="O22" i="1"/>
  <c r="S22" i="1" s="1"/>
  <c r="C15" i="1"/>
  <c r="O24" i="1"/>
  <c r="S24" i="1" s="1"/>
  <c r="O25" i="1"/>
  <c r="S25" i="1" s="1"/>
  <c r="O21" i="1"/>
  <c r="S21" i="1" s="1"/>
  <c r="C16" i="2"/>
  <c r="D18" i="2" s="1"/>
  <c r="O21" i="2"/>
  <c r="S21" i="2" s="1"/>
  <c r="C15" i="2"/>
  <c r="O23" i="2"/>
  <c r="S23" i="2" s="1"/>
  <c r="O25" i="2"/>
  <c r="S25" i="2" s="1"/>
  <c r="O24" i="2"/>
  <c r="S24" i="2" s="1"/>
  <c r="O22" i="2"/>
  <c r="S22" i="2" s="1"/>
  <c r="C16" i="1"/>
  <c r="D18" i="1" s="1"/>
  <c r="S19" i="2" l="1"/>
  <c r="C18" i="2"/>
  <c r="E16" i="2"/>
  <c r="E17" i="2" s="1"/>
  <c r="S19" i="1"/>
  <c r="C18" i="1"/>
  <c r="E16" i="1"/>
  <c r="E17" i="1" s="1"/>
</calcChain>
</file>

<file path=xl/sharedStrings.xml><?xml version="1.0" encoding="utf-8"?>
<sst xmlns="http://schemas.openxmlformats.org/spreadsheetml/2006/main" count="121" uniqueCount="56">
  <si>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</si>
  <si>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</si>
  <si>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</si>
  <si>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</si>
  <si>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</si>
  <si>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</si>
  <si>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</si>
  <si>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</si>
  <si>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</si>
  <si>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</si>
  <si>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</si>
  <si>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</si>
  <si>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</si>
  <si>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</si>
  <si>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</si>
  <si>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</si>
  <si>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</si>
  <si>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</si>
  <si>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</si>
  <si>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</si>
  <si>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</si>
  <si>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</si>
  <si>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</si>
  <si>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</si>
  <si>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</si>
  <si>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</si>
  <si>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</si>
  <si>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</si>
  <si>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</si>
  <si>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</si>
  <si>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</si>
  <si>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</si>
  <si>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</si>
  <si>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</si>
  <si>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</si>
  <si>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</si>
  <si>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</si>
  <si>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</si>
  <si>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</si>
  <si>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</si>
  <si>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</si>
  <si>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</si>
  <si>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G5017-0129</t>
  </si>
  <si>
    <t>G5017-0129_Ser.xls</t>
  </si>
  <si>
    <t>EA / EB</t>
  </si>
  <si>
    <t>Ser</t>
  </si>
  <si>
    <t>VSX</t>
  </si>
  <si>
    <t>IBVS 5894</t>
  </si>
  <si>
    <t>I</t>
  </si>
  <si>
    <t>IBVS 5945</t>
  </si>
  <si>
    <t>IBVS 5992</t>
  </si>
  <si>
    <t>IBVS 6029</t>
  </si>
  <si>
    <t>This is a better period</t>
  </si>
  <si>
    <t>ToMcat</t>
  </si>
  <si>
    <t>V0567 Ser / GSC 5017-0129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</si>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</sst>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39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16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V0567 Ser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8.9999999999999998E-4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1054</c:v>
                </c:pt>
                <c:pt idx="2">
                  <c:v>1995.5</c:v>
                </c:pt>
                <c:pt idx="3">
                  <c:v>3220.5</c:v>
                </c:pt>
                <c:pt idx="4">
                  <c:v>4398.5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9F-47EC-BCF4-3EC7775F5AFF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8.9999999999999998E-4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1054</c:v>
                </c:pt>
                <c:pt idx="2">
                  <c:v>1995.5</c:v>
                </c:pt>
                <c:pt idx="3">
                  <c:v>3220.5</c:v>
                </c:pt>
                <c:pt idx="4">
                  <c:v>4398.5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  <c:pt idx="1">
                  <c:v>-5.1310001654201187E-3</c:v>
                </c:pt>
                <c:pt idx="2">
                  <c:v>1.5919249832222704E-2</c:v>
                </c:pt>
                <c:pt idx="3">
                  <c:v>1.3156749831978232E-2</c:v>
                </c:pt>
                <c:pt idx="4">
                  <c:v>5.3139749834372196E-2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9F-47EC-BCF4-3EC7775F5AFF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8.9999999999999998E-4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1054</c:v>
                </c:pt>
                <c:pt idx="2">
                  <c:v>1995.5</c:v>
                </c:pt>
                <c:pt idx="3">
                  <c:v>3220.5</c:v>
                </c:pt>
                <c:pt idx="4">
                  <c:v>4398.5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D9F-47EC-BCF4-3EC7775F5AFF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8.9999999999999998E-4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1054</c:v>
                </c:pt>
                <c:pt idx="2">
                  <c:v>1995.5</c:v>
                </c:pt>
                <c:pt idx="3">
                  <c:v>3220.5</c:v>
                </c:pt>
                <c:pt idx="4">
                  <c:v>4398.5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D9F-47EC-BCF4-3EC7775F5AFF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8.9999999999999998E-4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1054</c:v>
                </c:pt>
                <c:pt idx="2">
                  <c:v>1995.5</c:v>
                </c:pt>
                <c:pt idx="3">
                  <c:v>3220.5</c:v>
                </c:pt>
                <c:pt idx="4">
                  <c:v>4398.5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D9F-47EC-BCF4-3EC7775F5AFF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8.9999999999999998E-4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1054</c:v>
                </c:pt>
                <c:pt idx="2">
                  <c:v>1995.5</c:v>
                </c:pt>
                <c:pt idx="3">
                  <c:v>3220.5</c:v>
                </c:pt>
                <c:pt idx="4">
                  <c:v>4398.5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D9F-47EC-BCF4-3EC7775F5AFF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8.9999999999999998E-4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1054</c:v>
                </c:pt>
                <c:pt idx="2">
                  <c:v>1995.5</c:v>
                </c:pt>
                <c:pt idx="3">
                  <c:v>3220.5</c:v>
                </c:pt>
                <c:pt idx="4">
                  <c:v>4398.5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D9F-47EC-BCF4-3EC7775F5AFF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1054</c:v>
                </c:pt>
                <c:pt idx="2">
                  <c:v>1995.5</c:v>
                </c:pt>
                <c:pt idx="3">
                  <c:v>3220.5</c:v>
                </c:pt>
                <c:pt idx="4">
                  <c:v>4398.5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-9.021032305919871E-3</c:v>
                </c:pt>
                <c:pt idx="1">
                  <c:v>3.0507834178783218E-3</c:v>
                </c:pt>
                <c:pt idx="2">
                  <c:v>1.3834098886527275E-2</c:v>
                </c:pt>
                <c:pt idx="3">
                  <c:v>2.7864434998152311E-2</c:v>
                </c:pt>
                <c:pt idx="4">
                  <c:v>4.1356464336514999E-2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D9F-47EC-BCF4-3EC7775F5AFF}"/>
            </c:ext>
          </c:extLst>
        </c:ser>
        <c:ser>
          <c:idx val="8"/>
          <c:order val="8"/>
          <c:tx>
            <c:strRef>
              <c:f>'Active 1'!$R$20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1054</c:v>
                </c:pt>
                <c:pt idx="2">
                  <c:v>1995.5</c:v>
                </c:pt>
                <c:pt idx="3">
                  <c:v>3220.5</c:v>
                </c:pt>
                <c:pt idx="4">
                  <c:v>4398.5</c:v>
                </c:pt>
              </c:numCache>
            </c:numRef>
          </c:xVal>
          <c:yVal>
            <c:numRef>
              <c:f>'Active 1'!$R$21:$R$999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D9F-47EC-BCF4-3EC7775F5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9101072"/>
        <c:axId val="1"/>
      </c:scatterChart>
      <c:valAx>
        <c:axId val="729101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91010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51127819548873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V0567 Ser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8.9999999999999998E-4</c:v>
                  </c:pt>
                </c:numCache>
              </c:numRef>
            </c:plus>
            <c:min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900</c:v>
                </c:pt>
                <c:pt idx="2">
                  <c:v>1704</c:v>
                </c:pt>
                <c:pt idx="3">
                  <c:v>2750</c:v>
                </c:pt>
                <c:pt idx="4">
                  <c:v>3756</c:v>
                </c:pt>
              </c:numCache>
            </c:numRef>
          </c:xVal>
          <c:yVal>
            <c:numRef>
              <c:f>'Active 2'!$H$21:$H$999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21-4ED3-A442-BD3B4580A0E1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8.9999999999999998E-4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900</c:v>
                </c:pt>
                <c:pt idx="2">
                  <c:v>1704</c:v>
                </c:pt>
                <c:pt idx="3">
                  <c:v>2750</c:v>
                </c:pt>
                <c:pt idx="4">
                  <c:v>3756</c:v>
                </c:pt>
              </c:numCache>
            </c:numRef>
          </c:xVal>
          <c:yVal>
            <c:numRef>
              <c:f>'Active 2'!$I$21:$I$999</c:f>
              <c:numCache>
                <c:formatCode>General</c:formatCode>
                <c:ptCount val="979"/>
                <c:pt idx="1">
                  <c:v>-2.0000001677544788E-3</c:v>
                </c:pt>
                <c:pt idx="2">
                  <c:v>-1.6800001685624011E-3</c:v>
                </c:pt>
                <c:pt idx="3">
                  <c:v>4.8999998325598426E-3</c:v>
                </c:pt>
                <c:pt idx="4">
                  <c:v>4.1799998361966573E-3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021-4ED3-A442-BD3B4580A0E1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8.9999999999999998E-4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900</c:v>
                </c:pt>
                <c:pt idx="2">
                  <c:v>1704</c:v>
                </c:pt>
                <c:pt idx="3">
                  <c:v>2750</c:v>
                </c:pt>
                <c:pt idx="4">
                  <c:v>3756</c:v>
                </c:pt>
              </c:numCache>
            </c:numRef>
          </c:xVal>
          <c:yVal>
            <c:numRef>
              <c:f>'Active 2'!$J$21:$J$999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021-4ED3-A442-BD3B4580A0E1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8.9999999999999998E-4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900</c:v>
                </c:pt>
                <c:pt idx="2">
                  <c:v>1704</c:v>
                </c:pt>
                <c:pt idx="3">
                  <c:v>2750</c:v>
                </c:pt>
                <c:pt idx="4">
                  <c:v>3756</c:v>
                </c:pt>
              </c:numCache>
            </c:numRef>
          </c:xVal>
          <c:yVal>
            <c:numRef>
              <c:f>'Active 2'!$K$21:$K$999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021-4ED3-A442-BD3B4580A0E1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8.9999999999999998E-4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900</c:v>
                </c:pt>
                <c:pt idx="2">
                  <c:v>1704</c:v>
                </c:pt>
                <c:pt idx="3">
                  <c:v>2750</c:v>
                </c:pt>
                <c:pt idx="4">
                  <c:v>3756</c:v>
                </c:pt>
              </c:numCache>
            </c:numRef>
          </c:xVal>
          <c:yVal>
            <c:numRef>
              <c:f>'Active 2'!$L$21:$L$999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021-4ED3-A442-BD3B4580A0E1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8.9999999999999998E-4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900</c:v>
                </c:pt>
                <c:pt idx="2">
                  <c:v>1704</c:v>
                </c:pt>
                <c:pt idx="3">
                  <c:v>2750</c:v>
                </c:pt>
                <c:pt idx="4">
                  <c:v>3756</c:v>
                </c:pt>
              </c:numCache>
            </c:numRef>
          </c:xVal>
          <c:yVal>
            <c:numRef>
              <c:f>'Active 2'!$M$21:$M$999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021-4ED3-A442-BD3B4580A0E1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8.9999999999999998E-4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900</c:v>
                </c:pt>
                <c:pt idx="2">
                  <c:v>1704</c:v>
                </c:pt>
                <c:pt idx="3">
                  <c:v>2750</c:v>
                </c:pt>
                <c:pt idx="4">
                  <c:v>3756</c:v>
                </c:pt>
              </c:numCache>
            </c:numRef>
          </c:xVal>
          <c:yVal>
            <c:numRef>
              <c:f>'Active 2'!$N$21:$N$999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021-4ED3-A442-BD3B4580A0E1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900</c:v>
                </c:pt>
                <c:pt idx="2">
                  <c:v>1704</c:v>
                </c:pt>
                <c:pt idx="3">
                  <c:v>2750</c:v>
                </c:pt>
                <c:pt idx="4">
                  <c:v>3756</c:v>
                </c:pt>
              </c:numCache>
            </c:numRef>
          </c:xVal>
          <c:yVal>
            <c:numRef>
              <c:f>'Active 2'!$O$21:$O$999</c:f>
              <c:numCache>
                <c:formatCode>General</c:formatCode>
                <c:ptCount val="979"/>
                <c:pt idx="0">
                  <c:v>-1.9632010162817176E-3</c:v>
                </c:pt>
                <c:pt idx="1">
                  <c:v>-4.5997335739440814E-4</c:v>
                </c:pt>
                <c:pt idx="2">
                  <c:v>8.8291001787825464E-4</c:v>
                </c:pt>
                <c:pt idx="3">
                  <c:v>2.6299946080961725E-3</c:v>
                </c:pt>
                <c:pt idx="4">
                  <c:v>4.31026908014132E-3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021-4ED3-A442-BD3B4580A0E1}"/>
            </c:ext>
          </c:extLst>
        </c:ser>
        <c:ser>
          <c:idx val="8"/>
          <c:order val="8"/>
          <c:tx>
            <c:strRef>
              <c:f>'Active 2'!$R$20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900</c:v>
                </c:pt>
                <c:pt idx="2">
                  <c:v>1704</c:v>
                </c:pt>
                <c:pt idx="3">
                  <c:v>2750</c:v>
                </c:pt>
                <c:pt idx="4">
                  <c:v>3756</c:v>
                </c:pt>
              </c:numCache>
            </c:numRef>
          </c:xVal>
          <c:yVal>
            <c:numRef>
              <c:f>'Active 2'!$R$21:$R$999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021-4ED3-A442-BD3B4580A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777272"/>
        <c:axId val="1"/>
      </c:scatterChart>
      <c:valAx>
        <c:axId val="740777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07772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0</xdr:row>
      <xdr:rowOff>0</xdr:rowOff>
    </xdr:from>
    <xdr:to>
      <xdr:col>17</xdr:col>
      <xdr:colOff>238125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EF66E02-4AD2-7D92-6586-CACB146782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63F4CB95-AC6C-1AB0-6B20-514CB36D55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5: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8" customFormat="1" ht="20.25" x14ac:dyDescent="0.2">
      <c r="A1" s="36" t="s">
        <v>54</v>
      </c>
      <c r="E1" s="8" t="s">
        <v>43</v>
      </c>
    </row>
    <row r="2" spans="1:7" s="8" customFormat="1" ht="12.95" customHeight="1" x14ac:dyDescent="0.2">
      <c r="A2" s="8" t="s">
        <v>24</v>
      </c>
      <c r="B2" s="8" t="s">
        <v>44</v>
      </c>
      <c r="C2" s="9" t="s">
        <v>41</v>
      </c>
      <c r="D2" s="10" t="s">
        <v>45</v>
      </c>
      <c r="E2" s="3" t="s">
        <v>42</v>
      </c>
      <c r="F2" s="8" t="e">
        <v>#N/A</v>
      </c>
    </row>
    <row r="3" spans="1:7" s="8" customFormat="1" ht="12.95" customHeight="1" thickBot="1" x14ac:dyDescent="0.25"/>
    <row r="4" spans="1:7" s="8" customFormat="1" ht="12.95" customHeight="1" thickTop="1" thickBot="1" x14ac:dyDescent="0.25">
      <c r="A4" s="11" t="s">
        <v>0</v>
      </c>
      <c r="C4" s="12" t="s">
        <v>40</v>
      </c>
      <c r="D4" s="13" t="s">
        <v>40</v>
      </c>
    </row>
    <row r="5" spans="1:7" s="8" customFormat="1" ht="12.95" customHeight="1" x14ac:dyDescent="0.2"/>
    <row r="6" spans="1:7" s="8" customFormat="1" ht="12.95" customHeight="1" x14ac:dyDescent="0.2">
      <c r="A6" s="11" t="s">
        <v>1</v>
      </c>
    </row>
    <row r="7" spans="1:7" s="8" customFormat="1" ht="12.95" customHeight="1" x14ac:dyDescent="0.2">
      <c r="A7" s="8" t="s">
        <v>2</v>
      </c>
      <c r="C7" s="37">
        <v>54627.626000000164</v>
      </c>
      <c r="D7" s="15" t="s">
        <v>46</v>
      </c>
    </row>
    <row r="8" spans="1:7" s="8" customFormat="1" ht="12.95" customHeight="1" x14ac:dyDescent="0.2">
      <c r="A8" s="8" t="s">
        <v>3</v>
      </c>
      <c r="C8" s="14">
        <v>0.32082650000000001</v>
      </c>
      <c r="D8" s="15" t="s">
        <v>46</v>
      </c>
    </row>
    <row r="9" spans="1:7" s="8" customFormat="1" ht="12.95" customHeight="1" x14ac:dyDescent="0.2">
      <c r="A9" s="16" t="s">
        <v>30</v>
      </c>
      <c r="C9" s="17">
        <v>-9.5</v>
      </c>
      <c r="D9" s="8" t="s">
        <v>31</v>
      </c>
    </row>
    <row r="10" spans="1:7" s="8" customFormat="1" ht="12.95" customHeight="1" thickBot="1" x14ac:dyDescent="0.25">
      <c r="C10" s="18" t="s">
        <v>20</v>
      </c>
      <c r="D10" s="18" t="s">
        <v>21</v>
      </c>
    </row>
    <row r="11" spans="1:7" s="8" customFormat="1" ht="12.95" customHeight="1" x14ac:dyDescent="0.2">
      <c r="A11" s="8" t="s">
        <v>15</v>
      </c>
      <c r="C11" s="19">
        <f ca="1">INTERCEPT(INDIRECT($G$11):G992,INDIRECT($F$11):F992)</f>
        <v>-9.021032305919871E-3</v>
      </c>
      <c r="D11" s="10"/>
      <c r="F11" s="20" t="str">
        <f>"F"&amp;E19</f>
        <v>F21</v>
      </c>
      <c r="G11" s="19" t="str">
        <f>"G"&amp;E19</f>
        <v>G21</v>
      </c>
    </row>
    <row r="12" spans="1:7" s="8" customFormat="1" ht="12.95" customHeight="1" x14ac:dyDescent="0.2">
      <c r="A12" s="8" t="s">
        <v>16</v>
      </c>
      <c r="C12" s="19">
        <f ca="1">SLOPE(INDIRECT($G$11):G992,INDIRECT($F$11):F992)</f>
        <v>1.1453335601326558E-5</v>
      </c>
      <c r="D12" s="10"/>
    </row>
    <row r="13" spans="1:7" s="8" customFormat="1" ht="12.95" customHeight="1" x14ac:dyDescent="0.2">
      <c r="A13" s="8" t="s">
        <v>19</v>
      </c>
      <c r="C13" s="10" t="s">
        <v>13</v>
      </c>
      <c r="D13" s="21" t="s">
        <v>37</v>
      </c>
      <c r="E13" s="17">
        <v>1</v>
      </c>
    </row>
    <row r="14" spans="1:7" s="8" customFormat="1" ht="12.95" customHeight="1" x14ac:dyDescent="0.2">
      <c r="D14" s="21" t="s">
        <v>32</v>
      </c>
      <c r="E14" s="22">
        <f ca="1">NOW()+15018.5+$C$9/24</f>
        <v>60375.738663310185</v>
      </c>
    </row>
    <row r="15" spans="1:7" s="8" customFormat="1" ht="12.95" customHeight="1" x14ac:dyDescent="0.2">
      <c r="A15" s="23" t="s">
        <v>17</v>
      </c>
      <c r="C15" s="24">
        <f ca="1">(C7+C11)+(C8+C12)*INT(MAX(F21:F3533))</f>
        <v>56038.662297737836</v>
      </c>
      <c r="D15" s="21" t="s">
        <v>38</v>
      </c>
      <c r="E15" s="22">
        <f ca="1">ROUND(2*(E14-$C$7)/$C$8,0)/2+E13</f>
        <v>17917.5</v>
      </c>
    </row>
    <row r="16" spans="1:7" s="8" customFormat="1" ht="12.95" customHeight="1" x14ac:dyDescent="0.2">
      <c r="A16" s="11" t="s">
        <v>4</v>
      </c>
      <c r="C16" s="25">
        <f ca="1">+C8+C12</f>
        <v>0.32083795333560133</v>
      </c>
      <c r="D16" s="21" t="s">
        <v>39</v>
      </c>
      <c r="E16" s="19">
        <f ca="1">ROUND(2*(E14-$C$15)/$C$16,0)/2+E13</f>
        <v>13519</v>
      </c>
    </row>
    <row r="17" spans="1:19" s="8" customFormat="1" ht="12.95" customHeight="1" thickBot="1" x14ac:dyDescent="0.25">
      <c r="A17" s="21" t="s">
        <v>29</v>
      </c>
      <c r="C17" s="8">
        <f>COUNT(C21:C2191)</f>
        <v>5</v>
      </c>
      <c r="D17" s="21" t="s">
        <v>33</v>
      </c>
      <c r="E17" s="26">
        <f ca="1">+$C$15+$C$16*E16-15018.5-$C$9/24</f>
        <v>45357.96642221517</v>
      </c>
    </row>
    <row r="18" spans="1:19" s="8" customFormat="1" ht="12.95" customHeight="1" thickTop="1" thickBot="1" x14ac:dyDescent="0.25">
      <c r="A18" s="11" t="s">
        <v>5</v>
      </c>
      <c r="C18" s="27">
        <f ca="1">+C15</f>
        <v>56038.662297737836</v>
      </c>
      <c r="D18" s="28">
        <f ca="1">+C16</f>
        <v>0.32083795333560133</v>
      </c>
      <c r="E18" s="29" t="s">
        <v>34</v>
      </c>
    </row>
    <row r="19" spans="1:19" s="8" customFormat="1" ht="12.95" customHeight="1" thickTop="1" x14ac:dyDescent="0.2">
      <c r="A19" s="30" t="s">
        <v>35</v>
      </c>
      <c r="E19" s="31">
        <v>21</v>
      </c>
      <c r="S19" s="8">
        <f ca="1">SQRT(SUM(S21:S50)/(COUNT(S21:S50)-1))</f>
        <v>1.1267544996648841E-2</v>
      </c>
    </row>
    <row r="20" spans="1:19" s="8" customFormat="1" ht="12.95" customHeight="1" thickBot="1" x14ac:dyDescent="0.25">
      <c r="A20" s="18" t="s">
        <v>6</v>
      </c>
      <c r="B20" s="18" t="s">
        <v>7</v>
      </c>
      <c r="C20" s="18" t="s">
        <v>8</v>
      </c>
      <c r="D20" s="18" t="s">
        <v>12</v>
      </c>
      <c r="E20" s="18" t="s">
        <v>9</v>
      </c>
      <c r="F20" s="18" t="s">
        <v>10</v>
      </c>
      <c r="G20" s="18" t="s">
        <v>11</v>
      </c>
      <c r="H20" s="32" t="str">
        <f>A21</f>
        <v>VSX</v>
      </c>
      <c r="I20" s="32" t="s">
        <v>55</v>
      </c>
      <c r="J20" s="32" t="s">
        <v>18</v>
      </c>
      <c r="K20" s="32" t="s">
        <v>25</v>
      </c>
      <c r="L20" s="32" t="s">
        <v>26</v>
      </c>
      <c r="M20" s="32" t="s">
        <v>27</v>
      </c>
      <c r="N20" s="32" t="s">
        <v>28</v>
      </c>
      <c r="O20" s="32" t="s">
        <v>23</v>
      </c>
      <c r="P20" s="33" t="s">
        <v>22</v>
      </c>
      <c r="Q20" s="18" t="s">
        <v>14</v>
      </c>
      <c r="R20" s="34" t="s">
        <v>36</v>
      </c>
    </row>
    <row r="21" spans="1:19" s="8" customFormat="1" ht="12.95" customHeight="1" x14ac:dyDescent="0.2">
      <c r="A21" s="8" t="str">
        <f>D7</f>
        <v>VSX</v>
      </c>
      <c r="C21" s="14">
        <f>C$7</f>
        <v>54627.626000000164</v>
      </c>
      <c r="D21" s="14" t="s">
        <v>13</v>
      </c>
      <c r="E21" s="8">
        <f>+(C21-C$7)/C$8</f>
        <v>0</v>
      </c>
      <c r="F21" s="8">
        <f>ROUND(2*E21,0)/2</f>
        <v>0</v>
      </c>
      <c r="G21" s="8">
        <f>+C21-(C$7+F21*C$8)</f>
        <v>0</v>
      </c>
      <c r="H21" s="8">
        <f>+G21</f>
        <v>0</v>
      </c>
      <c r="O21" s="8">
        <f ca="1">+C$11+C$12*$F21</f>
        <v>-9.021032305919871E-3</v>
      </c>
      <c r="Q21" s="35">
        <f>+C21-15018.5</f>
        <v>39609.126000000164</v>
      </c>
      <c r="S21" s="8">
        <f ca="1">+(O21-G21)^2</f>
        <v>8.1379023864449989E-5</v>
      </c>
    </row>
    <row r="22" spans="1:19" s="8" customFormat="1" ht="12.95" customHeight="1" x14ac:dyDescent="0.2">
      <c r="A22" s="4" t="s">
        <v>47</v>
      </c>
      <c r="B22" s="5" t="s">
        <v>48</v>
      </c>
      <c r="C22" s="4">
        <v>54965.771999999997</v>
      </c>
      <c r="D22" s="4">
        <v>2.9999999999999997E-4</v>
      </c>
      <c r="E22" s="8">
        <f>+(C22-C$7)/C$8</f>
        <v>1053.984006931576</v>
      </c>
      <c r="F22" s="8">
        <f>ROUND(2*E22,0)/2</f>
        <v>1054</v>
      </c>
      <c r="G22" s="8">
        <f>+C22-(C$7+F22*C$8)</f>
        <v>-5.1310001654201187E-3</v>
      </c>
      <c r="I22" s="8">
        <f>+G22</f>
        <v>-5.1310001654201187E-3</v>
      </c>
      <c r="O22" s="8">
        <f ca="1">+C$11+C$12*$F22</f>
        <v>3.0507834178783218E-3</v>
      </c>
      <c r="Q22" s="35">
        <f>+C22-15018.5</f>
        <v>39947.271999999997</v>
      </c>
      <c r="S22" s="8">
        <f ca="1">+(O22-G22)^2</f>
        <v>6.6941582603931876E-5</v>
      </c>
    </row>
    <row r="23" spans="1:19" s="8" customFormat="1" ht="12.95" customHeight="1" x14ac:dyDescent="0.2">
      <c r="A23" s="4" t="s">
        <v>49</v>
      </c>
      <c r="B23" s="5" t="s">
        <v>48</v>
      </c>
      <c r="C23" s="4">
        <v>55267.851199999997</v>
      </c>
      <c r="D23" s="4">
        <v>4.0000000000000002E-4</v>
      </c>
      <c r="E23" s="8">
        <f>+(C23-C$7)/C$8</f>
        <v>1995.54961949787</v>
      </c>
      <c r="F23" s="8">
        <f>ROUND(2*E23,0)/2</f>
        <v>1995.5</v>
      </c>
      <c r="G23" s="8">
        <f>+C23-(C$7+F23*C$8)</f>
        <v>1.5919249832222704E-2</v>
      </c>
      <c r="I23" s="8">
        <f>+G23</f>
        <v>1.5919249832222704E-2</v>
      </c>
      <c r="O23" s="8">
        <f ca="1">+C$11+C$12*$F23</f>
        <v>1.3834098886527275E-2</v>
      </c>
      <c r="Q23" s="35">
        <f>+C23-15018.5</f>
        <v>40249.351199999997</v>
      </c>
      <c r="S23" s="8">
        <f ca="1">+(O23-G23)^2</f>
        <v>4.3478544663345426E-6</v>
      </c>
    </row>
    <row r="24" spans="1:19" s="8" customFormat="1" ht="12.95" customHeight="1" x14ac:dyDescent="0.2">
      <c r="A24" s="4" t="s">
        <v>50</v>
      </c>
      <c r="B24" s="5" t="s">
        <v>48</v>
      </c>
      <c r="C24" s="4">
        <v>55660.8609</v>
      </c>
      <c r="D24" s="4">
        <v>4.0000000000000002E-4</v>
      </c>
      <c r="E24" s="8">
        <f>+(C24-C$7)/C$8</f>
        <v>3220.541008924873</v>
      </c>
      <c r="F24" s="8">
        <f>ROUND(2*E24,0)/2</f>
        <v>3220.5</v>
      </c>
      <c r="G24" s="8">
        <f>+C24-(C$7+F24*C$8)</f>
        <v>1.3156749831978232E-2</v>
      </c>
      <c r="I24" s="8">
        <f>+G24</f>
        <v>1.3156749831978232E-2</v>
      </c>
      <c r="O24" s="8">
        <f ca="1">+C$11+C$12*$F24</f>
        <v>2.7864434998152311E-2</v>
      </c>
      <c r="Q24" s="35">
        <f>+C24-15018.5</f>
        <v>40642.3609</v>
      </c>
      <c r="S24" s="8">
        <f ca="1">+(O24-G24)^2</f>
        <v>2.1631600294729706E-4</v>
      </c>
    </row>
    <row r="25" spans="1:19" x14ac:dyDescent="0.2">
      <c r="A25" s="6" t="s">
        <v>51</v>
      </c>
      <c r="B25" s="7" t="s">
        <v>48</v>
      </c>
      <c r="C25" s="6">
        <v>56038.834499999997</v>
      </c>
      <c r="D25" s="6">
        <v>8.9999999999999998E-4</v>
      </c>
      <c r="E25">
        <f>+(C25-C$7)/C$8</f>
        <v>4398.6656339168776</v>
      </c>
      <c r="F25">
        <f>ROUND(2*E25,0)/2</f>
        <v>4398.5</v>
      </c>
      <c r="G25">
        <f>+C25-(C$7+F25*C$8)</f>
        <v>5.3139749834372196E-2</v>
      </c>
      <c r="I25">
        <f>+G25</f>
        <v>5.3139749834372196E-2</v>
      </c>
      <c r="O25">
        <f ca="1">+C$11+C$12*$F25</f>
        <v>4.1356464336514999E-2</v>
      </c>
      <c r="Q25" s="1">
        <f>+C25-15018.5</f>
        <v>41020.334499999997</v>
      </c>
      <c r="S25">
        <f ca="1">+(O25-G25)^2</f>
        <v>1.3884581712401175E-4</v>
      </c>
    </row>
    <row r="26" spans="1:19" x14ac:dyDescent="0.2">
      <c r="C26" s="2"/>
      <c r="D26" s="2"/>
      <c r="Q26" s="1"/>
    </row>
    <row r="27" spans="1:19" x14ac:dyDescent="0.2">
      <c r="C27" s="2"/>
      <c r="D27" s="2"/>
      <c r="Q27" s="1"/>
    </row>
    <row r="28" spans="1:19" x14ac:dyDescent="0.2">
      <c r="C28" s="2"/>
      <c r="D28" s="2"/>
      <c r="Q28" s="1"/>
    </row>
    <row r="29" spans="1:19" x14ac:dyDescent="0.2">
      <c r="C29" s="2"/>
      <c r="D29" s="2"/>
      <c r="Q29" s="1"/>
    </row>
    <row r="30" spans="1:19" x14ac:dyDescent="0.2">
      <c r="C30" s="2"/>
      <c r="D30" s="2"/>
      <c r="Q30" s="1"/>
    </row>
    <row r="31" spans="1:19" x14ac:dyDescent="0.2">
      <c r="C31" s="2"/>
      <c r="D31" s="2"/>
      <c r="Q31" s="1"/>
    </row>
    <row r="32" spans="1:19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8" customFormat="1" ht="20.25" x14ac:dyDescent="0.2">
      <c r="A1" s="36" t="s">
        <v>54</v>
      </c>
      <c r="E1" s="8" t="s">
        <v>43</v>
      </c>
    </row>
    <row r="2" spans="1:7" s="8" customFormat="1" ht="12.95" customHeight="1" x14ac:dyDescent="0.2">
      <c r="A2" s="8" t="s">
        <v>24</v>
      </c>
      <c r="B2" s="8" t="s">
        <v>44</v>
      </c>
      <c r="C2" s="9" t="s">
        <v>41</v>
      </c>
      <c r="D2" s="10" t="s">
        <v>45</v>
      </c>
      <c r="E2" s="3" t="s">
        <v>42</v>
      </c>
      <c r="F2" s="8" t="e">
        <v>#N/A</v>
      </c>
    </row>
    <row r="3" spans="1:7" s="8" customFormat="1" ht="12.95" customHeight="1" thickBot="1" x14ac:dyDescent="0.25"/>
    <row r="4" spans="1:7" s="8" customFormat="1" ht="12.95" customHeight="1" thickTop="1" thickBot="1" x14ac:dyDescent="0.25">
      <c r="A4" s="11" t="s">
        <v>0</v>
      </c>
      <c r="C4" s="12" t="s">
        <v>40</v>
      </c>
      <c r="D4" s="13" t="s">
        <v>40</v>
      </c>
    </row>
    <row r="5" spans="1:7" s="8" customFormat="1" ht="12.95" customHeight="1" x14ac:dyDescent="0.2">
      <c r="E5" s="14">
        <v>0.37572</v>
      </c>
    </row>
    <row r="6" spans="1:7" s="8" customFormat="1" ht="12.95" customHeight="1" x14ac:dyDescent="0.2">
      <c r="A6" s="11" t="s">
        <v>1</v>
      </c>
      <c r="C6" s="38" t="s">
        <v>52</v>
      </c>
    </row>
    <row r="7" spans="1:7" s="8" customFormat="1" ht="12.95" customHeight="1" x14ac:dyDescent="0.2">
      <c r="A7" s="8" t="s">
        <v>2</v>
      </c>
      <c r="C7" s="14">
        <v>54627.626000000164</v>
      </c>
      <c r="D7" s="15" t="s">
        <v>46</v>
      </c>
    </row>
    <row r="8" spans="1:7" s="8" customFormat="1" ht="12.95" customHeight="1" x14ac:dyDescent="0.2">
      <c r="A8" s="8" t="s">
        <v>3</v>
      </c>
      <c r="C8" s="14">
        <v>0.37572</v>
      </c>
      <c r="D8" s="15" t="s">
        <v>53</v>
      </c>
    </row>
    <row r="9" spans="1:7" s="8" customFormat="1" ht="12.95" customHeight="1" x14ac:dyDescent="0.2">
      <c r="A9" s="16" t="s">
        <v>30</v>
      </c>
      <c r="C9" s="17">
        <v>-9.5</v>
      </c>
      <c r="D9" s="8" t="s">
        <v>31</v>
      </c>
    </row>
    <row r="10" spans="1:7" s="8" customFormat="1" ht="12.95" customHeight="1" thickBot="1" x14ac:dyDescent="0.25">
      <c r="C10" s="18" t="s">
        <v>20</v>
      </c>
      <c r="D10" s="18" t="s">
        <v>21</v>
      </c>
    </row>
    <row r="11" spans="1:7" s="8" customFormat="1" ht="12.95" customHeight="1" x14ac:dyDescent="0.2">
      <c r="A11" s="8" t="s">
        <v>15</v>
      </c>
      <c r="C11" s="19">
        <f ca="1">INTERCEPT(INDIRECT($G$11):G992,INDIRECT($F$11):F992)</f>
        <v>-1.9632010162817176E-3</v>
      </c>
      <c r="D11" s="10"/>
      <c r="F11" s="20" t="str">
        <f>"F"&amp;E19</f>
        <v>F21</v>
      </c>
      <c r="G11" s="19" t="str">
        <f>"G"&amp;E19</f>
        <v>G21</v>
      </c>
    </row>
    <row r="12" spans="1:7" s="8" customFormat="1" ht="12.95" customHeight="1" x14ac:dyDescent="0.2">
      <c r="A12" s="8" t="s">
        <v>16</v>
      </c>
      <c r="C12" s="19">
        <f ca="1">SLOPE(INDIRECT($G$11):G992,INDIRECT($F$11):F992)</f>
        <v>1.6702529543192327E-6</v>
      </c>
      <c r="D12" s="10"/>
    </row>
    <row r="13" spans="1:7" s="8" customFormat="1" ht="12.95" customHeight="1" x14ac:dyDescent="0.2">
      <c r="A13" s="8" t="s">
        <v>19</v>
      </c>
      <c r="C13" s="10" t="s">
        <v>13</v>
      </c>
      <c r="D13" s="21" t="s">
        <v>37</v>
      </c>
      <c r="E13" s="17">
        <v>1</v>
      </c>
    </row>
    <row r="14" spans="1:7" s="8" customFormat="1" ht="12.95" customHeight="1" x14ac:dyDescent="0.2">
      <c r="D14" s="21" t="s">
        <v>32</v>
      </c>
      <c r="E14" s="22">
        <f ca="1">NOW()+15018.5+$C$9/24</f>
        <v>60375.738663310185</v>
      </c>
    </row>
    <row r="15" spans="1:7" s="8" customFormat="1" ht="12.95" customHeight="1" x14ac:dyDescent="0.2">
      <c r="A15" s="23" t="s">
        <v>17</v>
      </c>
      <c r="C15" s="24">
        <f ca="1">(C7+C11)+(C8+C12)*INT(MAX(F21:F3533))</f>
        <v>56038.834630269244</v>
      </c>
      <c r="D15" s="21" t="s">
        <v>38</v>
      </c>
      <c r="E15" s="22">
        <f ca="1">ROUND(2*(E14-$C$7)/$C$8,0)/2+E13</f>
        <v>15300</v>
      </c>
    </row>
    <row r="16" spans="1:7" s="8" customFormat="1" ht="12.95" customHeight="1" x14ac:dyDescent="0.2">
      <c r="A16" s="11" t="s">
        <v>4</v>
      </c>
      <c r="C16" s="25">
        <f ca="1">+C8+C12</f>
        <v>0.37572167025295433</v>
      </c>
      <c r="D16" s="21" t="s">
        <v>39</v>
      </c>
      <c r="E16" s="19">
        <f ca="1">ROUND(2*(E14-$C$15)/$C$16,0)/2+E13</f>
        <v>11544</v>
      </c>
    </row>
    <row r="17" spans="1:19" s="8" customFormat="1" ht="12.95" customHeight="1" thickBot="1" x14ac:dyDescent="0.25">
      <c r="A17" s="21" t="s">
        <v>29</v>
      </c>
      <c r="C17" s="8">
        <f>COUNT(C21:C2191)</f>
        <v>5</v>
      </c>
      <c r="D17" s="21" t="s">
        <v>33</v>
      </c>
      <c r="E17" s="26">
        <f ca="1">+$C$15+$C$16*E16-15018.5-$C$9/24</f>
        <v>45358.061425002685</v>
      </c>
    </row>
    <row r="18" spans="1:19" s="8" customFormat="1" ht="12.95" customHeight="1" thickTop="1" thickBot="1" x14ac:dyDescent="0.25">
      <c r="A18" s="11" t="s">
        <v>5</v>
      </c>
      <c r="C18" s="27">
        <f ca="1">+C15</f>
        <v>56038.834630269244</v>
      </c>
      <c r="D18" s="28">
        <f ca="1">+C16</f>
        <v>0.37572167025295433</v>
      </c>
      <c r="E18" s="29" t="s">
        <v>34</v>
      </c>
    </row>
    <row r="19" spans="1:19" s="8" customFormat="1" ht="12.95" customHeight="1" thickTop="1" x14ac:dyDescent="0.2">
      <c r="A19" s="30" t="s">
        <v>35</v>
      </c>
      <c r="E19" s="31">
        <v>21</v>
      </c>
      <c r="S19" s="8">
        <f ca="1">SQRT(SUM(S21:S50)/(COUNT(S21:S50)-1))</f>
        <v>2.1192123080126333E-3</v>
      </c>
    </row>
    <row r="20" spans="1:19" s="8" customFormat="1" ht="12.95" customHeight="1" thickBot="1" x14ac:dyDescent="0.25">
      <c r="A20" s="18" t="s">
        <v>6</v>
      </c>
      <c r="B20" s="18" t="s">
        <v>7</v>
      </c>
      <c r="C20" s="18" t="s">
        <v>8</v>
      </c>
      <c r="D20" s="18" t="s">
        <v>12</v>
      </c>
      <c r="E20" s="18" t="s">
        <v>9</v>
      </c>
      <c r="F20" s="18" t="s">
        <v>10</v>
      </c>
      <c r="G20" s="18" t="s">
        <v>11</v>
      </c>
      <c r="H20" s="32" t="str">
        <f>A21</f>
        <v>VSX</v>
      </c>
      <c r="I20" s="32" t="s">
        <v>55</v>
      </c>
      <c r="J20" s="32" t="s">
        <v>18</v>
      </c>
      <c r="K20" s="32" t="s">
        <v>25</v>
      </c>
      <c r="L20" s="32" t="s">
        <v>26</v>
      </c>
      <c r="M20" s="32" t="s">
        <v>27</v>
      </c>
      <c r="N20" s="32" t="s">
        <v>28</v>
      </c>
      <c r="O20" s="32" t="s">
        <v>23</v>
      </c>
      <c r="P20" s="33" t="s">
        <v>22</v>
      </c>
      <c r="Q20" s="18" t="s">
        <v>14</v>
      </c>
      <c r="R20" s="34" t="s">
        <v>36</v>
      </c>
    </row>
    <row r="21" spans="1:19" s="8" customFormat="1" ht="12.95" customHeight="1" x14ac:dyDescent="0.2">
      <c r="A21" s="8" t="str">
        <f>D7</f>
        <v>VSX</v>
      </c>
      <c r="C21" s="14">
        <f>C$7</f>
        <v>54627.626000000164</v>
      </c>
      <c r="D21" s="14" t="s">
        <v>13</v>
      </c>
      <c r="E21" s="8">
        <f>+(C21-C$7)/C$8</f>
        <v>0</v>
      </c>
      <c r="F21" s="8">
        <f>ROUND(2*E21,0)/2</f>
        <v>0</v>
      </c>
      <c r="G21" s="8">
        <f>+C21-(C$7+F21*C$8)</f>
        <v>0</v>
      </c>
      <c r="H21" s="8">
        <f>+G21</f>
        <v>0</v>
      </c>
      <c r="O21" s="8">
        <f ca="1">+C$11+C$12*$F21</f>
        <v>-1.9632010162817176E-3</v>
      </c>
      <c r="Q21" s="35">
        <f>+C21-15018.5</f>
        <v>39609.126000000164</v>
      </c>
      <c r="S21" s="8">
        <f ca="1">+(O21-G21)^2</f>
        <v>3.8541582303295693E-6</v>
      </c>
    </row>
    <row r="22" spans="1:19" s="8" customFormat="1" ht="12.95" customHeight="1" x14ac:dyDescent="0.2">
      <c r="A22" s="4" t="s">
        <v>47</v>
      </c>
      <c r="B22" s="5" t="s">
        <v>48</v>
      </c>
      <c r="C22" s="4">
        <v>54965.771999999997</v>
      </c>
      <c r="D22" s="4">
        <v>2.9999999999999997E-4</v>
      </c>
      <c r="E22" s="8">
        <f>+(C22-C$7)/C$8</f>
        <v>899.99467688659979</v>
      </c>
      <c r="F22" s="8">
        <f>ROUND(2*E22,0)/2</f>
        <v>900</v>
      </c>
      <c r="G22" s="8">
        <f>+C22-(C$7+F22*C$8)</f>
        <v>-2.0000001677544788E-3</v>
      </c>
      <c r="I22" s="8">
        <f>+G22</f>
        <v>-2.0000001677544788E-3</v>
      </c>
      <c r="O22" s="8">
        <f ca="1">+C$11+C$12*$F22</f>
        <v>-4.5997335739440814E-4</v>
      </c>
      <c r="Q22" s="35">
        <f>+C22-15018.5</f>
        <v>39947.271999999997</v>
      </c>
      <c r="S22" s="8">
        <f ca="1">+(O22-G22)^2</f>
        <v>2.3716825766278128E-6</v>
      </c>
    </row>
    <row r="23" spans="1:19" s="8" customFormat="1" ht="12.95" customHeight="1" x14ac:dyDescent="0.2">
      <c r="A23" s="4" t="s">
        <v>49</v>
      </c>
      <c r="B23" s="5" t="s">
        <v>48</v>
      </c>
      <c r="C23" s="4">
        <v>55267.851199999997</v>
      </c>
      <c r="D23" s="4">
        <v>4.0000000000000002E-4</v>
      </c>
      <c r="E23" s="8">
        <f>+(C23-C$7)/C$8</f>
        <v>1703.9955285846731</v>
      </c>
      <c r="F23" s="8">
        <f>ROUND(2*E23,0)/2</f>
        <v>1704</v>
      </c>
      <c r="G23" s="8">
        <f>+C23-(C$7+F23*C$8)</f>
        <v>-1.6800001685624011E-3</v>
      </c>
      <c r="I23" s="8">
        <f>+G23</f>
        <v>-1.6800001685624011E-3</v>
      </c>
      <c r="O23" s="8">
        <f ca="1">+C$11+C$12*$F23</f>
        <v>8.8291001787825464E-4</v>
      </c>
      <c r="Q23" s="35">
        <f>+C23-15018.5</f>
        <v>40249.351199999997</v>
      </c>
      <c r="S23" s="8">
        <f ca="1">+(O23-G23)^2</f>
        <v>6.5685086237612763E-6</v>
      </c>
    </row>
    <row r="24" spans="1:19" s="8" customFormat="1" ht="12.95" customHeight="1" x14ac:dyDescent="0.2">
      <c r="A24" s="4" t="s">
        <v>50</v>
      </c>
      <c r="B24" s="5" t="s">
        <v>48</v>
      </c>
      <c r="C24" s="4">
        <v>55660.8609</v>
      </c>
      <c r="D24" s="4">
        <v>4.0000000000000002E-4</v>
      </c>
      <c r="E24" s="8">
        <f>+(C24-C$7)/C$8</f>
        <v>2750.0130416263064</v>
      </c>
      <c r="F24" s="8">
        <f>ROUND(2*E24,0)/2</f>
        <v>2750</v>
      </c>
      <c r="G24" s="8">
        <f>+C24-(C$7+F24*C$8)</f>
        <v>4.8999998325598426E-3</v>
      </c>
      <c r="I24" s="8">
        <f>+G24</f>
        <v>4.8999998325598426E-3</v>
      </c>
      <c r="O24" s="8">
        <f ca="1">+C$11+C$12*$F24</f>
        <v>2.6299946080961725E-3</v>
      </c>
      <c r="Q24" s="35">
        <f>+C24-15018.5</f>
        <v>40642.3609</v>
      </c>
      <c r="S24" s="8">
        <f ca="1">+(O24-G24)^2</f>
        <v>5.1529237190923575E-6</v>
      </c>
    </row>
    <row r="25" spans="1:19" s="8" customFormat="1" ht="12.95" customHeight="1" x14ac:dyDescent="0.2">
      <c r="A25" s="4" t="s">
        <v>51</v>
      </c>
      <c r="B25" s="5" t="s">
        <v>48</v>
      </c>
      <c r="C25" s="4">
        <v>56038.834499999997</v>
      </c>
      <c r="D25" s="4">
        <v>8.9999999999999998E-4</v>
      </c>
      <c r="E25" s="8">
        <f>+(C25-C$7)/C$8</f>
        <v>3756.0111253056352</v>
      </c>
      <c r="F25" s="8">
        <f>ROUND(2*E25,0)/2</f>
        <v>3756</v>
      </c>
      <c r="G25" s="8">
        <f>+C25-(C$7+F25*C$8)</f>
        <v>4.1799998361966573E-3</v>
      </c>
      <c r="I25" s="8">
        <f>+G25</f>
        <v>4.1799998361966573E-3</v>
      </c>
      <c r="O25" s="8">
        <f ca="1">+C$11+C$12*$F25</f>
        <v>4.31026908014132E-3</v>
      </c>
      <c r="Q25" s="35">
        <f>+C25-15018.5</f>
        <v>41020.334499999997</v>
      </c>
      <c r="S25" s="8">
        <f ca="1">+(O25-G25)^2</f>
        <v>1.697007591791406E-8</v>
      </c>
    </row>
    <row r="26" spans="1:19" x14ac:dyDescent="0.2">
      <c r="C26" s="2"/>
      <c r="D26" s="2"/>
      <c r="Q26" s="1"/>
    </row>
    <row r="27" spans="1:19" x14ac:dyDescent="0.2">
      <c r="C27" s="2"/>
      <c r="D27" s="2"/>
      <c r="Q27" s="1"/>
    </row>
    <row r="28" spans="1:19" x14ac:dyDescent="0.2">
      <c r="C28" s="2"/>
      <c r="D28" s="2"/>
      <c r="Q28" s="1"/>
    </row>
    <row r="29" spans="1:19" x14ac:dyDescent="0.2">
      <c r="C29" s="2"/>
      <c r="D29" s="2"/>
      <c r="Q29" s="1"/>
    </row>
    <row r="30" spans="1:19" x14ac:dyDescent="0.2">
      <c r="C30" s="2"/>
      <c r="D30" s="2"/>
      <c r="Q30" s="1"/>
    </row>
    <row r="31" spans="1:19" x14ac:dyDescent="0.2">
      <c r="C31" s="2"/>
      <c r="D31" s="2"/>
      <c r="Q31" s="1"/>
    </row>
    <row r="32" spans="1:19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Active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2024-03-06T04:43:40Z</dcterms:modified>
</cp:coreProperties>
</file>