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A96DE6E-2B28-43DF-9EEE-1A1D865CB16A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G11" i="2"/>
  <c r="E14" i="2"/>
  <c r="E15" i="2" s="1"/>
  <c r="C17" i="2"/>
  <c r="A21" i="2"/>
  <c r="H20" i="2"/>
  <c r="C21" i="2"/>
  <c r="E21" i="2"/>
  <c r="F21" i="2"/>
  <c r="G21" i="2"/>
  <c r="H21" i="2"/>
  <c r="Q21" i="2"/>
  <c r="Q22" i="2"/>
  <c r="Q23" i="2"/>
  <c r="Q24" i="2"/>
  <c r="Q25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C21" i="1"/>
  <c r="E21" i="1"/>
  <c r="F21" i="1"/>
  <c r="G21" i="1"/>
  <c r="H21" i="1"/>
  <c r="F11" i="1"/>
  <c r="Q22" i="1"/>
  <c r="Q23" i="1"/>
  <c r="Q24" i="1"/>
  <c r="Q25" i="1"/>
  <c r="A21" i="1"/>
  <c r="H20" i="1"/>
  <c r="G11" i="1"/>
  <c r="E14" i="1"/>
  <c r="C17" i="1"/>
  <c r="Q21" i="1"/>
  <c r="C11" i="2"/>
  <c r="C12" i="1"/>
  <c r="C16" i="1" l="1"/>
  <c r="D18" i="1" s="1"/>
  <c r="E15" i="1"/>
  <c r="C11" i="1"/>
  <c r="C12" i="2"/>
  <c r="C16" i="2" l="1"/>
  <c r="D18" i="2" s="1"/>
  <c r="C15" i="2"/>
  <c r="O21" i="2"/>
  <c r="S21" i="2" s="1"/>
  <c r="O23" i="2"/>
  <c r="S23" i="2" s="1"/>
  <c r="O25" i="2"/>
  <c r="S25" i="2" s="1"/>
  <c r="O24" i="2"/>
  <c r="S24" i="2" s="1"/>
  <c r="O22" i="2"/>
  <c r="S22" i="2" s="1"/>
  <c r="O24" i="1"/>
  <c r="S24" i="1" s="1"/>
  <c r="C15" i="1"/>
  <c r="O22" i="1"/>
  <c r="S22" i="1" s="1"/>
  <c r="O23" i="1"/>
  <c r="S23" i="1" s="1"/>
  <c r="O25" i="1"/>
  <c r="S25" i="1" s="1"/>
  <c r="O21" i="1"/>
  <c r="S21" i="1" s="1"/>
  <c r="S19" i="1" l="1"/>
  <c r="S19" i="2"/>
  <c r="C18" i="2"/>
  <c r="E16" i="2"/>
  <c r="E17" i="2" s="1"/>
  <c r="C18" i="1"/>
  <c r="E16" i="1"/>
  <c r="E17" i="1" s="1"/>
</calcChain>
</file>

<file path=xl/sharedStrings.xml><?xml version="1.0" encoding="utf-8"?>
<sst xmlns="http://schemas.openxmlformats.org/spreadsheetml/2006/main" count="120" uniqueCount="56">
  <si>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</si>
  <si>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</si>
  <si>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</si>
  <si>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</si>
  <si>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</si>
  <si>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</si>
  <si>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</si>
  <si>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</si>
  <si>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</si>
  <si>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</si>
  <si>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</si>
  <si>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</si>
  <si>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</si>
  <si>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</si>
  <si>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</si>
  <si>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</si>
  <si>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</si>
  <si>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</si>
  <si>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</si>
  <si>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</si>
  <si>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</si>
  <si>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</si>
  <si>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</si>
  <si>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</si>
  <si>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</si>
  <si>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</si>
  <si>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</si>
  <si>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</si>
  <si>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</si>
  <si>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</si>
  <si>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</si>
  <si>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</si>
  <si>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</si>
  <si>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</si>
  <si>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</si>
  <si>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</si>
  <si>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</si>
  <si>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</si>
  <si>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</si>
  <si>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</si>
  <si>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</si>
  <si>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</si>
  <si>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G0357-0162</t>
  </si>
  <si>
    <t>IBVS 5894</t>
  </si>
  <si>
    <t>II</t>
  </si>
  <si>
    <t>IBVS 5945</t>
  </si>
  <si>
    <t>IBVS 5992</t>
  </si>
  <si>
    <t>I</t>
  </si>
  <si>
    <t>IBVS 6029</t>
  </si>
  <si>
    <t>G0357-0162_Ser.xls</t>
  </si>
  <si>
    <t>EC</t>
  </si>
  <si>
    <t>Ser</t>
  </si>
  <si>
    <t>VSX</t>
  </si>
  <si>
    <t>ToMcat 2014-01-29</t>
  </si>
  <si>
    <t>V0573 Ser / GSC 0357-0162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</si>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</sst>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V0573 Ser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837.5</c:v>
                </c:pt>
                <c:pt idx="2">
                  <c:v>1674.5</c:v>
                </c:pt>
                <c:pt idx="3">
                  <c:v>2698</c:v>
                </c:pt>
                <c:pt idx="4">
                  <c:v>3703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94-4A01-8512-E334A6ADE37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837.5</c:v>
                </c:pt>
                <c:pt idx="2">
                  <c:v>1674.5</c:v>
                </c:pt>
                <c:pt idx="3">
                  <c:v>2698</c:v>
                </c:pt>
                <c:pt idx="4">
                  <c:v>3703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1.0624999995343387E-3</c:v>
                </c:pt>
                <c:pt idx="2">
                  <c:v>7.1094999948400073E-3</c:v>
                </c:pt>
                <c:pt idx="3">
                  <c:v>6.4379999967059121E-3</c:v>
                </c:pt>
                <c:pt idx="4">
                  <c:v>4.5929999978397973E-3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94-4A01-8512-E334A6ADE37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837.5</c:v>
                </c:pt>
                <c:pt idx="2">
                  <c:v>1674.5</c:v>
                </c:pt>
                <c:pt idx="3">
                  <c:v>2698</c:v>
                </c:pt>
                <c:pt idx="4">
                  <c:v>3703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94-4A01-8512-E334A6ADE37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837.5</c:v>
                </c:pt>
                <c:pt idx="2">
                  <c:v>1674.5</c:v>
                </c:pt>
                <c:pt idx="3">
                  <c:v>2698</c:v>
                </c:pt>
                <c:pt idx="4">
                  <c:v>3703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94-4A01-8512-E334A6ADE37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837.5</c:v>
                </c:pt>
                <c:pt idx="2">
                  <c:v>1674.5</c:v>
                </c:pt>
                <c:pt idx="3">
                  <c:v>2698</c:v>
                </c:pt>
                <c:pt idx="4">
                  <c:v>3703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94-4A01-8512-E334A6ADE37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837.5</c:v>
                </c:pt>
                <c:pt idx="2">
                  <c:v>1674.5</c:v>
                </c:pt>
                <c:pt idx="3">
                  <c:v>2698</c:v>
                </c:pt>
                <c:pt idx="4">
                  <c:v>3703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94-4A01-8512-E334A6ADE37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837.5</c:v>
                </c:pt>
                <c:pt idx="2">
                  <c:v>1674.5</c:v>
                </c:pt>
                <c:pt idx="3">
                  <c:v>2698</c:v>
                </c:pt>
                <c:pt idx="4">
                  <c:v>3703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94-4A01-8512-E334A6ADE37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837.5</c:v>
                </c:pt>
                <c:pt idx="2">
                  <c:v>1674.5</c:v>
                </c:pt>
                <c:pt idx="3">
                  <c:v>2698</c:v>
                </c:pt>
                <c:pt idx="4">
                  <c:v>3703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1.1608287572317084E-3</c:v>
                </c:pt>
                <c:pt idx="1">
                  <c:v>2.4198371797395923E-3</c:v>
                </c:pt>
                <c:pt idx="2">
                  <c:v>3.6780939554280682E-3</c:v>
                </c:pt>
                <c:pt idx="3">
                  <c:v>5.2167149947556137E-3</c:v>
                </c:pt>
                <c:pt idx="4">
                  <c:v>6.7275251017650736E-3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94-4A01-8512-E334A6ADE37A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837.5</c:v>
                </c:pt>
                <c:pt idx="2">
                  <c:v>1674.5</c:v>
                </c:pt>
                <c:pt idx="3">
                  <c:v>2698</c:v>
                </c:pt>
                <c:pt idx="4">
                  <c:v>3703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94-4A01-8512-E334A6ADE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989688"/>
        <c:axId val="1"/>
      </c:scatterChart>
      <c:valAx>
        <c:axId val="558989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989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V0573 Ser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882.5</c:v>
                </c:pt>
                <c:pt idx="2">
                  <c:v>1764.5</c:v>
                </c:pt>
                <c:pt idx="3">
                  <c:v>2843</c:v>
                </c:pt>
                <c:pt idx="4">
                  <c:v>3902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28-41EB-AC12-6C4F45E9C03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882.5</c:v>
                </c:pt>
                <c:pt idx="2">
                  <c:v>1764.5</c:v>
                </c:pt>
                <c:pt idx="3">
                  <c:v>2843</c:v>
                </c:pt>
                <c:pt idx="4">
                  <c:v>3902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8.6250000022118911E-3</c:v>
                </c:pt>
                <c:pt idx="2">
                  <c:v>1.2665000002016313E-2</c:v>
                </c:pt>
                <c:pt idx="3">
                  <c:v>1.9109999993816018E-2</c:v>
                </c:pt>
                <c:pt idx="4">
                  <c:v>2.6339999996707775E-2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28-41EB-AC12-6C4F45E9C03D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882.5</c:v>
                </c:pt>
                <c:pt idx="2">
                  <c:v>1764.5</c:v>
                </c:pt>
                <c:pt idx="3">
                  <c:v>2843</c:v>
                </c:pt>
                <c:pt idx="4">
                  <c:v>3902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28-41EB-AC12-6C4F45E9C03D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882.5</c:v>
                </c:pt>
                <c:pt idx="2">
                  <c:v>1764.5</c:v>
                </c:pt>
                <c:pt idx="3">
                  <c:v>2843</c:v>
                </c:pt>
                <c:pt idx="4">
                  <c:v>3902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28-41EB-AC12-6C4F45E9C03D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882.5</c:v>
                </c:pt>
                <c:pt idx="2">
                  <c:v>1764.5</c:v>
                </c:pt>
                <c:pt idx="3">
                  <c:v>2843</c:v>
                </c:pt>
                <c:pt idx="4">
                  <c:v>3902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28-41EB-AC12-6C4F45E9C03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882.5</c:v>
                </c:pt>
                <c:pt idx="2">
                  <c:v>1764.5</c:v>
                </c:pt>
                <c:pt idx="3">
                  <c:v>2843</c:v>
                </c:pt>
                <c:pt idx="4">
                  <c:v>3902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28-41EB-AC12-6C4F45E9C03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882.5</c:v>
                </c:pt>
                <c:pt idx="2">
                  <c:v>1764.5</c:v>
                </c:pt>
                <c:pt idx="3">
                  <c:v>2843</c:v>
                </c:pt>
                <c:pt idx="4">
                  <c:v>3902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28-41EB-AC12-6C4F45E9C03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882.5</c:v>
                </c:pt>
                <c:pt idx="2">
                  <c:v>1764.5</c:v>
                </c:pt>
                <c:pt idx="3">
                  <c:v>2843</c:v>
                </c:pt>
                <c:pt idx="4">
                  <c:v>3902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1.2224815503588445E-3</c:v>
                </c:pt>
                <c:pt idx="1">
                  <c:v>6.9192287984859982E-3</c:v>
                </c:pt>
                <c:pt idx="2">
                  <c:v>1.2612748427775686E-2</c:v>
                </c:pt>
                <c:pt idx="3">
                  <c:v>1.9574722260189435E-2</c:v>
                </c:pt>
                <c:pt idx="4">
                  <c:v>2.641081895794202E-2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28-41EB-AC12-6C4F45E9C03D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882.5</c:v>
                </c:pt>
                <c:pt idx="2">
                  <c:v>1764.5</c:v>
                </c:pt>
                <c:pt idx="3">
                  <c:v>2843</c:v>
                </c:pt>
                <c:pt idx="4">
                  <c:v>3902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28-41EB-AC12-6C4F45E9C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610664"/>
        <c:axId val="1"/>
      </c:scatterChart>
      <c:valAx>
        <c:axId val="731610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610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338F13-6067-AA5C-75B7-5E23E6609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2EC19603-57EC-0222-63E4-13EDD2116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H27" sqref="H2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8" customFormat="1" ht="20.25" x14ac:dyDescent="0.2">
      <c r="A1" s="36" t="s">
        <v>54</v>
      </c>
      <c r="E1" s="8" t="s">
        <v>49</v>
      </c>
    </row>
    <row r="2" spans="1:7" s="8" customFormat="1" ht="12.95" customHeight="1" x14ac:dyDescent="0.2">
      <c r="A2" s="8" t="s">
        <v>24</v>
      </c>
      <c r="B2" s="8" t="s">
        <v>50</v>
      </c>
      <c r="C2" s="9" t="s">
        <v>41</v>
      </c>
      <c r="D2" s="10" t="s">
        <v>51</v>
      </c>
      <c r="E2" s="3" t="s">
        <v>42</v>
      </c>
      <c r="F2" s="8" t="e">
        <v>#N/A</v>
      </c>
    </row>
    <row r="3" spans="1:7" s="8" customFormat="1" ht="12.95" customHeight="1" thickBot="1" x14ac:dyDescent="0.25"/>
    <row r="4" spans="1:7" s="8" customFormat="1" ht="12.95" customHeight="1" thickTop="1" thickBot="1" x14ac:dyDescent="0.25">
      <c r="A4" s="11" t="s">
        <v>0</v>
      </c>
      <c r="C4" s="12" t="s">
        <v>40</v>
      </c>
      <c r="D4" s="13" t="s">
        <v>40</v>
      </c>
    </row>
    <row r="5" spans="1:7" s="8" customFormat="1" ht="12.95" customHeight="1" x14ac:dyDescent="0.2"/>
    <row r="6" spans="1:7" s="8" customFormat="1" ht="12.95" customHeight="1" x14ac:dyDescent="0.2">
      <c r="A6" s="11" t="s">
        <v>1</v>
      </c>
    </row>
    <row r="7" spans="1:7" s="8" customFormat="1" ht="12.95" customHeight="1" x14ac:dyDescent="0.2">
      <c r="A7" s="8" t="s">
        <v>2</v>
      </c>
      <c r="C7" s="37">
        <v>54641.656000000003</v>
      </c>
      <c r="D7" s="15" t="s">
        <v>52</v>
      </c>
    </row>
    <row r="8" spans="1:7" s="8" customFormat="1" ht="12.95" customHeight="1" x14ac:dyDescent="0.2">
      <c r="A8" s="8" t="s">
        <v>3</v>
      </c>
      <c r="C8" s="37">
        <v>0.37516899999999997</v>
      </c>
      <c r="D8" s="15" t="s">
        <v>52</v>
      </c>
    </row>
    <row r="9" spans="1:7" s="8" customFormat="1" ht="12.95" customHeight="1" x14ac:dyDescent="0.2">
      <c r="A9" s="16" t="s">
        <v>30</v>
      </c>
      <c r="C9" s="17">
        <v>-9.5</v>
      </c>
      <c r="D9" s="8" t="s">
        <v>31</v>
      </c>
    </row>
    <row r="10" spans="1:7" s="8" customFormat="1" ht="12.95" customHeight="1" thickBot="1" x14ac:dyDescent="0.25">
      <c r="C10" s="18" t="s">
        <v>20</v>
      </c>
      <c r="D10" s="18" t="s">
        <v>21</v>
      </c>
    </row>
    <row r="11" spans="1:7" s="8" customFormat="1" ht="12.95" customHeight="1" x14ac:dyDescent="0.2">
      <c r="A11" s="8" t="s">
        <v>15</v>
      </c>
      <c r="C11" s="19">
        <f ca="1">INTERCEPT(INDIRECT($G$11):G992,INDIRECT($F$11):F992)</f>
        <v>1.1608287572317084E-3</v>
      </c>
      <c r="D11" s="10"/>
      <c r="F11" s="20" t="str">
        <f>"F"&amp;E19</f>
        <v>F21</v>
      </c>
      <c r="G11" s="19" t="str">
        <f>"G"&amp;E19</f>
        <v>G21</v>
      </c>
    </row>
    <row r="12" spans="1:7" s="8" customFormat="1" ht="12.95" customHeight="1" x14ac:dyDescent="0.2">
      <c r="A12" s="8" t="s">
        <v>16</v>
      </c>
      <c r="C12" s="19">
        <f ca="1">SLOPE(INDIRECT($G$11):G992,INDIRECT($F$11):F992)</f>
        <v>1.5032936388153836E-6</v>
      </c>
      <c r="D12" s="10"/>
    </row>
    <row r="13" spans="1:7" s="8" customFormat="1" ht="12.95" customHeight="1" x14ac:dyDescent="0.2">
      <c r="A13" s="8" t="s">
        <v>19</v>
      </c>
      <c r="C13" s="10" t="s">
        <v>13</v>
      </c>
      <c r="D13" s="21" t="s">
        <v>37</v>
      </c>
      <c r="E13" s="17">
        <v>1</v>
      </c>
    </row>
    <row r="14" spans="1:7" s="8" customFormat="1" ht="12.95" customHeight="1" x14ac:dyDescent="0.2">
      <c r="D14" s="21" t="s">
        <v>32</v>
      </c>
      <c r="E14" s="22">
        <f ca="1">NOW()+15018.5+$C$9/24</f>
        <v>60375.74544421296</v>
      </c>
    </row>
    <row r="15" spans="1:7" s="8" customFormat="1" ht="12.95" customHeight="1" x14ac:dyDescent="0.2">
      <c r="A15" s="23" t="s">
        <v>17</v>
      </c>
      <c r="C15" s="24">
        <f ca="1">(C7+C11)+(C8+C12)*INT(MAX(F21:F3533))</f>
        <v>56030.913534525105</v>
      </c>
      <c r="D15" s="21" t="s">
        <v>38</v>
      </c>
      <c r="E15" s="22">
        <f ca="1">ROUND(2*(E14-$C$7)/$C$8,0)/2+E13</f>
        <v>15285</v>
      </c>
    </row>
    <row r="16" spans="1:7" s="8" customFormat="1" ht="12.95" customHeight="1" x14ac:dyDescent="0.2">
      <c r="A16" s="11" t="s">
        <v>4</v>
      </c>
      <c r="C16" s="25">
        <f ca="1">+C8+C12</f>
        <v>0.37517050329363877</v>
      </c>
      <c r="D16" s="21" t="s">
        <v>39</v>
      </c>
      <c r="E16" s="19">
        <f ca="1">ROUND(2*(E14-$C$15)/$C$16,0)/2+E13</f>
        <v>11582</v>
      </c>
    </row>
    <row r="17" spans="1:19" s="8" customFormat="1" ht="12.95" customHeight="1" thickBot="1" x14ac:dyDescent="0.25">
      <c r="A17" s="21" t="s">
        <v>29</v>
      </c>
      <c r="C17" s="8">
        <f>COUNT(C21:C2191)</f>
        <v>5</v>
      </c>
      <c r="D17" s="21" t="s">
        <v>33</v>
      </c>
      <c r="E17" s="26">
        <f ca="1">+$C$15+$C$16*E16-15018.5-$C$9/24</f>
        <v>45358.034137005365</v>
      </c>
    </row>
    <row r="18" spans="1:19" s="8" customFormat="1" ht="12.95" customHeight="1" thickTop="1" thickBot="1" x14ac:dyDescent="0.25">
      <c r="A18" s="11" t="s">
        <v>5</v>
      </c>
      <c r="C18" s="27">
        <f ca="1">+C15</f>
        <v>56030.913534525105</v>
      </c>
      <c r="D18" s="28">
        <f ca="1">+C16</f>
        <v>0.37517050329363877</v>
      </c>
      <c r="E18" s="29" t="s">
        <v>34</v>
      </c>
    </row>
    <row r="19" spans="1:19" s="8" customFormat="1" ht="12.95" customHeight="1" thickTop="1" x14ac:dyDescent="0.2">
      <c r="A19" s="30" t="s">
        <v>35</v>
      </c>
      <c r="E19" s="31">
        <v>21</v>
      </c>
      <c r="S19" s="8">
        <f ca="1">SQRT(SUM(S21:S50)/(COUNT(S21:S50)-1))</f>
        <v>2.2919516523572407E-3</v>
      </c>
    </row>
    <row r="20" spans="1:19" s="8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2" t="str">
        <f>A21</f>
        <v>VSX</v>
      </c>
      <c r="I20" s="32" t="s">
        <v>55</v>
      </c>
      <c r="J20" s="32" t="s">
        <v>18</v>
      </c>
      <c r="K20" s="32" t="s">
        <v>25</v>
      </c>
      <c r="L20" s="32" t="s">
        <v>26</v>
      </c>
      <c r="M20" s="32" t="s">
        <v>27</v>
      </c>
      <c r="N20" s="32" t="s">
        <v>28</v>
      </c>
      <c r="O20" s="32" t="s">
        <v>23</v>
      </c>
      <c r="P20" s="33" t="s">
        <v>22</v>
      </c>
      <c r="Q20" s="18" t="s">
        <v>14</v>
      </c>
      <c r="R20" s="34" t="s">
        <v>36</v>
      </c>
    </row>
    <row r="21" spans="1:19" s="8" customFormat="1" ht="12.95" customHeight="1" x14ac:dyDescent="0.2">
      <c r="A21" s="8" t="str">
        <f>D7</f>
        <v>VSX</v>
      </c>
      <c r="C21" s="14">
        <f>C$7</f>
        <v>54641.656000000003</v>
      </c>
      <c r="D21" s="14" t="s">
        <v>13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1.1608287572317084E-3</v>
      </c>
      <c r="Q21" s="35">
        <f>+C21-15018.5</f>
        <v>39623.156000000003</v>
      </c>
      <c r="S21" s="8">
        <f ca="1">+(O21-G21)^2</f>
        <v>1.3475234036161126E-6</v>
      </c>
    </row>
    <row r="22" spans="1:19" s="8" customFormat="1" ht="12.95" customHeight="1" x14ac:dyDescent="0.2">
      <c r="A22" s="4" t="s">
        <v>43</v>
      </c>
      <c r="B22" s="5" t="s">
        <v>44</v>
      </c>
      <c r="C22" s="4">
        <v>54955.861100000002</v>
      </c>
      <c r="D22" s="4">
        <v>4.0000000000000002E-4</v>
      </c>
      <c r="E22" s="8">
        <f>+(C22-C$7)/C$8</f>
        <v>837.5028320570176</v>
      </c>
      <c r="F22" s="8">
        <f>ROUND(2*E22,0)/2</f>
        <v>837.5</v>
      </c>
      <c r="G22" s="8">
        <f>+C22-(C$7+F22*C$8)</f>
        <v>1.0624999995343387E-3</v>
      </c>
      <c r="I22" s="8">
        <f>+G22</f>
        <v>1.0624999995343387E-3</v>
      </c>
      <c r="O22" s="8">
        <f ca="1">+C$11+C$12*$F22</f>
        <v>2.4198371797395923E-3</v>
      </c>
      <c r="Q22" s="35">
        <f>+C22-15018.5</f>
        <v>39937.361100000002</v>
      </c>
      <c r="S22" s="8">
        <f ca="1">+(O22-G22)^2</f>
        <v>1.8423642207675492E-6</v>
      </c>
    </row>
    <row r="23" spans="1:19" s="8" customFormat="1" ht="12.95" customHeight="1" x14ac:dyDescent="0.2">
      <c r="A23" s="4" t="s">
        <v>45</v>
      </c>
      <c r="B23" s="5" t="s">
        <v>44</v>
      </c>
      <c r="C23" s="4">
        <v>55269.883600000001</v>
      </c>
      <c r="D23" s="4">
        <v>2.9999999999999997E-4</v>
      </c>
      <c r="E23" s="8">
        <f>+(C23-C$7)/C$8</f>
        <v>1674.518950126472</v>
      </c>
      <c r="F23" s="8">
        <f>ROUND(2*E23,0)/2</f>
        <v>1674.5</v>
      </c>
      <c r="G23" s="8">
        <f>+C23-(C$7+F23*C$8)</f>
        <v>7.1094999948400073E-3</v>
      </c>
      <c r="I23" s="8">
        <f>+G23</f>
        <v>7.1094999948400073E-3</v>
      </c>
      <c r="O23" s="8">
        <f ca="1">+C$11+C$12*$F23</f>
        <v>3.6780939554280682E-3</v>
      </c>
      <c r="Q23" s="35">
        <f>+C23-15018.5</f>
        <v>40251.383600000001</v>
      </c>
      <c r="S23" s="8">
        <f ca="1">+(O23-G23)^2</f>
        <v>1.1774547407312731E-5</v>
      </c>
    </row>
    <row r="24" spans="1:19" s="8" customFormat="1" ht="12.95" customHeight="1" x14ac:dyDescent="0.2">
      <c r="A24" s="4" t="s">
        <v>46</v>
      </c>
      <c r="B24" s="5" t="s">
        <v>47</v>
      </c>
      <c r="C24" s="4">
        <v>55653.868399999999</v>
      </c>
      <c r="D24" s="4">
        <v>5.0000000000000001E-4</v>
      </c>
      <c r="E24" s="8">
        <f>+(C24-C$7)/C$8</f>
        <v>2698.0171602664313</v>
      </c>
      <c r="F24" s="8">
        <f>ROUND(2*E24,0)/2</f>
        <v>2698</v>
      </c>
      <c r="G24" s="8">
        <f>+C24-(C$7+F24*C$8)</f>
        <v>6.4379999967059121E-3</v>
      </c>
      <c r="I24" s="8">
        <f>+G24</f>
        <v>6.4379999967059121E-3</v>
      </c>
      <c r="O24" s="8">
        <f ca="1">+C$11+C$12*$F24</f>
        <v>5.2167149947556137E-3</v>
      </c>
      <c r="Q24" s="35">
        <f>+C24-15018.5</f>
        <v>40635.368399999999</v>
      </c>
      <c r="S24" s="8">
        <f ca="1">+(O24-G24)^2</f>
        <v>1.4915370559887402E-6</v>
      </c>
    </row>
    <row r="25" spans="1:19" s="8" customFormat="1" ht="12.95" customHeight="1" x14ac:dyDescent="0.2">
      <c r="A25" s="4" t="s">
        <v>48</v>
      </c>
      <c r="B25" s="5" t="s">
        <v>47</v>
      </c>
      <c r="C25" s="4">
        <v>56030.911399999997</v>
      </c>
      <c r="D25" s="4">
        <v>4.0000000000000002E-4</v>
      </c>
      <c r="E25" s="8">
        <f>+(C25-C$7)/C$8</f>
        <v>3703.0122424827068</v>
      </c>
      <c r="F25" s="8">
        <f>ROUND(2*E25,0)/2</f>
        <v>3703</v>
      </c>
      <c r="G25" s="8">
        <f>+C25-(C$7+F25*C$8)</f>
        <v>4.5929999978397973E-3</v>
      </c>
      <c r="I25" s="8">
        <f>+G25</f>
        <v>4.5929999978397973E-3</v>
      </c>
      <c r="O25" s="8">
        <f ca="1">+C$11+C$12*$F25</f>
        <v>6.7275251017650736E-3</v>
      </c>
      <c r="Q25" s="35">
        <f>+C25-15018.5</f>
        <v>41012.411399999997</v>
      </c>
      <c r="S25" s="8">
        <f ca="1">+(O25-G25)^2</f>
        <v>4.5561974192872117E-6</v>
      </c>
    </row>
    <row r="26" spans="1:19" s="8" customFormat="1" ht="12.95" customHeight="1" x14ac:dyDescent="0.2">
      <c r="C26" s="14"/>
      <c r="D26" s="14"/>
      <c r="Q26" s="35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8" customFormat="1" ht="20.25" x14ac:dyDescent="0.2">
      <c r="A1" s="36" t="s">
        <v>54</v>
      </c>
      <c r="E1" s="8" t="s">
        <v>49</v>
      </c>
    </row>
    <row r="2" spans="1:7" s="8" customFormat="1" ht="12.95" customHeight="1" x14ac:dyDescent="0.2">
      <c r="A2" s="8" t="s">
        <v>24</v>
      </c>
      <c r="B2" s="8" t="s">
        <v>50</v>
      </c>
      <c r="C2" s="9" t="s">
        <v>41</v>
      </c>
      <c r="D2" s="10" t="s">
        <v>51</v>
      </c>
      <c r="E2" s="3" t="s">
        <v>42</v>
      </c>
      <c r="F2" s="8" t="e">
        <v>#N/A</v>
      </c>
    </row>
    <row r="3" spans="1:7" s="8" customFormat="1" ht="12.95" customHeight="1" thickBot="1" x14ac:dyDescent="0.25"/>
    <row r="4" spans="1:7" s="8" customFormat="1" ht="12.95" customHeight="1" thickTop="1" thickBot="1" x14ac:dyDescent="0.25">
      <c r="A4" s="11" t="s">
        <v>0</v>
      </c>
      <c r="C4" s="12" t="s">
        <v>40</v>
      </c>
      <c r="D4" s="13" t="s">
        <v>40</v>
      </c>
    </row>
    <row r="5" spans="1:7" s="8" customFormat="1" ht="12.95" customHeight="1" x14ac:dyDescent="0.2"/>
    <row r="6" spans="1:7" s="8" customFormat="1" ht="12.95" customHeight="1" x14ac:dyDescent="0.2">
      <c r="A6" s="11" t="s">
        <v>1</v>
      </c>
    </row>
    <row r="7" spans="1:7" s="8" customFormat="1" ht="12.95" customHeight="1" x14ac:dyDescent="0.2">
      <c r="A7" s="8" t="s">
        <v>2</v>
      </c>
      <c r="C7" s="37">
        <v>54641.656000000003</v>
      </c>
      <c r="D7" s="15" t="s">
        <v>52</v>
      </c>
    </row>
    <row r="8" spans="1:7" s="8" customFormat="1" ht="12.95" customHeight="1" x14ac:dyDescent="0.2">
      <c r="A8" s="8" t="s">
        <v>3</v>
      </c>
      <c r="C8" s="37">
        <v>0.35603000000000001</v>
      </c>
      <c r="D8" s="15" t="s">
        <v>53</v>
      </c>
    </row>
    <row r="9" spans="1:7" s="8" customFormat="1" ht="12.95" customHeight="1" x14ac:dyDescent="0.2">
      <c r="A9" s="16" t="s">
        <v>30</v>
      </c>
      <c r="C9" s="17">
        <v>-9.5</v>
      </c>
      <c r="D9" s="8" t="s">
        <v>31</v>
      </c>
    </row>
    <row r="10" spans="1:7" s="8" customFormat="1" ht="12.95" customHeight="1" thickBot="1" x14ac:dyDescent="0.25">
      <c r="C10" s="18" t="s">
        <v>20</v>
      </c>
      <c r="D10" s="18" t="s">
        <v>21</v>
      </c>
    </row>
    <row r="11" spans="1:7" s="8" customFormat="1" ht="12.95" customHeight="1" x14ac:dyDescent="0.2">
      <c r="A11" s="8" t="s">
        <v>15</v>
      </c>
      <c r="C11" s="19">
        <f ca="1">INTERCEPT(INDIRECT($G$11):G992,INDIRECT($F$11):F992)</f>
        <v>1.2224815503588445E-3</v>
      </c>
      <c r="D11" s="10"/>
      <c r="F11" s="20" t="str">
        <f>"F"&amp;E19</f>
        <v>F21</v>
      </c>
      <c r="G11" s="19" t="str">
        <f>"G"&amp;E19</f>
        <v>G21</v>
      </c>
    </row>
    <row r="12" spans="1:7" s="8" customFormat="1" ht="12.95" customHeight="1" x14ac:dyDescent="0.2">
      <c r="A12" s="8" t="s">
        <v>16</v>
      </c>
      <c r="C12" s="19">
        <f ca="1">SLOPE(INDIRECT($G$11):G992,INDIRECT($F$11):F992)</f>
        <v>6.4552376749316191E-6</v>
      </c>
      <c r="D12" s="10"/>
    </row>
    <row r="13" spans="1:7" s="8" customFormat="1" ht="12.95" customHeight="1" x14ac:dyDescent="0.2">
      <c r="A13" s="8" t="s">
        <v>19</v>
      </c>
      <c r="C13" s="10" t="s">
        <v>13</v>
      </c>
      <c r="D13" s="21" t="s">
        <v>37</v>
      </c>
      <c r="E13" s="17">
        <v>1</v>
      </c>
    </row>
    <row r="14" spans="1:7" s="8" customFormat="1" ht="12.95" customHeight="1" x14ac:dyDescent="0.2">
      <c r="D14" s="21" t="s">
        <v>32</v>
      </c>
      <c r="E14" s="22">
        <f ca="1">NOW()+15018.5+$C$9/24</f>
        <v>60375.74544421296</v>
      </c>
    </row>
    <row r="15" spans="1:7" s="8" customFormat="1" ht="12.95" customHeight="1" x14ac:dyDescent="0.2">
      <c r="A15" s="23" t="s">
        <v>17</v>
      </c>
      <c r="C15" s="24">
        <f ca="1">(C7+C11)+(C8+C12)*INT(MAX(F21:F3533))</f>
        <v>56030.911470818959</v>
      </c>
      <c r="D15" s="21" t="s">
        <v>38</v>
      </c>
      <c r="E15" s="22">
        <f ca="1">ROUND(2*(E14-$C$7)/$C$8,0)/2+E13</f>
        <v>16106.5</v>
      </c>
    </row>
    <row r="16" spans="1:7" s="8" customFormat="1" ht="12.95" customHeight="1" x14ac:dyDescent="0.2">
      <c r="A16" s="11" t="s">
        <v>4</v>
      </c>
      <c r="C16" s="25">
        <f ca="1">+C8+C12</f>
        <v>0.35603645523767496</v>
      </c>
      <c r="D16" s="21" t="s">
        <v>39</v>
      </c>
      <c r="E16" s="19">
        <f ca="1">ROUND(2*(E14-$C$15)/$C$16,0)/2+E13</f>
        <v>12204.5</v>
      </c>
    </row>
    <row r="17" spans="1:19" s="8" customFormat="1" ht="12.95" customHeight="1" thickBot="1" x14ac:dyDescent="0.25">
      <c r="A17" s="21" t="s">
        <v>29</v>
      </c>
      <c r="C17" s="8">
        <f>COUNT(C21:C2191)</f>
        <v>5</v>
      </c>
      <c r="D17" s="21" t="s">
        <v>33</v>
      </c>
      <c r="E17" s="26">
        <f ca="1">+$C$15+$C$16*E16-15018.5-$C$9/24</f>
        <v>45358.054222100502</v>
      </c>
    </row>
    <row r="18" spans="1:19" s="8" customFormat="1" ht="12.95" customHeight="1" thickTop="1" thickBot="1" x14ac:dyDescent="0.25">
      <c r="A18" s="11" t="s">
        <v>5</v>
      </c>
      <c r="C18" s="27">
        <f ca="1">+C15</f>
        <v>56030.911470818959</v>
      </c>
      <c r="D18" s="28">
        <f ca="1">+C16</f>
        <v>0.35603645523767496</v>
      </c>
      <c r="E18" s="29" t="s">
        <v>34</v>
      </c>
    </row>
    <row r="19" spans="1:19" s="8" customFormat="1" ht="12.95" customHeight="1" thickTop="1" x14ac:dyDescent="0.2">
      <c r="A19" s="30" t="s">
        <v>35</v>
      </c>
      <c r="E19" s="31">
        <v>21</v>
      </c>
      <c r="S19" s="8">
        <f ca="1">SQRT(SUM(S21:S50)/(COUNT(S21:S50)-1))</f>
        <v>1.0756194584485273E-3</v>
      </c>
    </row>
    <row r="20" spans="1:19" s="8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2" t="str">
        <f>A21</f>
        <v>VSX</v>
      </c>
      <c r="I20" s="32" t="s">
        <v>55</v>
      </c>
      <c r="J20" s="32" t="s">
        <v>18</v>
      </c>
      <c r="K20" s="32" t="s">
        <v>25</v>
      </c>
      <c r="L20" s="32" t="s">
        <v>26</v>
      </c>
      <c r="M20" s="32" t="s">
        <v>27</v>
      </c>
      <c r="N20" s="32" t="s">
        <v>28</v>
      </c>
      <c r="O20" s="32" t="s">
        <v>23</v>
      </c>
      <c r="P20" s="33" t="s">
        <v>22</v>
      </c>
      <c r="Q20" s="18" t="s">
        <v>14</v>
      </c>
      <c r="R20" s="34" t="s">
        <v>36</v>
      </c>
    </row>
    <row r="21" spans="1:19" s="8" customFormat="1" ht="12.95" customHeight="1" x14ac:dyDescent="0.2">
      <c r="A21" s="8" t="str">
        <f>D7</f>
        <v>VSX</v>
      </c>
      <c r="C21" s="14">
        <f>C$7</f>
        <v>54641.656000000003</v>
      </c>
      <c r="D21" s="14" t="s">
        <v>13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1.2224815503588445E-3</v>
      </c>
      <c r="Q21" s="35">
        <f>+C21-15018.5</f>
        <v>39623.156000000003</v>
      </c>
      <c r="S21" s="8">
        <f ca="1">+(O21-G21)^2</f>
        <v>1.4944611409677641E-6</v>
      </c>
    </row>
    <row r="22" spans="1:19" s="8" customFormat="1" ht="12.95" customHeight="1" x14ac:dyDescent="0.2">
      <c r="A22" s="4" t="s">
        <v>43</v>
      </c>
      <c r="B22" s="5" t="s">
        <v>44</v>
      </c>
      <c r="C22" s="4">
        <v>54955.861100000002</v>
      </c>
      <c r="D22" s="4">
        <v>4.0000000000000002E-4</v>
      </c>
      <c r="E22" s="8">
        <f>+(C22-C$7)/C$8</f>
        <v>882.52422548661411</v>
      </c>
      <c r="F22" s="8">
        <f>ROUND(2*E22,0)/2</f>
        <v>882.5</v>
      </c>
      <c r="G22" s="8">
        <f>+C22-(C$7+F22*C$8)</f>
        <v>8.6250000022118911E-3</v>
      </c>
      <c r="I22" s="8">
        <f>+G22</f>
        <v>8.6250000022118911E-3</v>
      </c>
      <c r="O22" s="8">
        <f ca="1">+C$11+C$12*$F22</f>
        <v>6.9192287984859982E-3</v>
      </c>
      <c r="Q22" s="35">
        <f>+C22-15018.5</f>
        <v>39937.361100000002</v>
      </c>
      <c r="S22" s="8">
        <f ca="1">+(O22-G22)^2</f>
        <v>2.9096553994604818E-6</v>
      </c>
    </row>
    <row r="23" spans="1:19" ht="12.95" customHeight="1" x14ac:dyDescent="0.2">
      <c r="A23" s="4" t="s">
        <v>45</v>
      </c>
      <c r="B23" s="5" t="s">
        <v>44</v>
      </c>
      <c r="C23" s="4">
        <v>55269.883600000001</v>
      </c>
      <c r="D23" s="4">
        <v>2.9999999999999997E-4</v>
      </c>
      <c r="E23">
        <f>+(C23-C$7)/C$8</f>
        <v>1764.5355728449802</v>
      </c>
      <c r="F23">
        <f>ROUND(2*E23,0)/2</f>
        <v>1764.5</v>
      </c>
      <c r="G23">
        <f>+C23-(C$7+F23*C$8)</f>
        <v>1.2665000002016313E-2</v>
      </c>
      <c r="I23">
        <f>+G23</f>
        <v>1.2665000002016313E-2</v>
      </c>
      <c r="O23">
        <f ca="1">+C$11+C$12*$F23</f>
        <v>1.2612748427775686E-2</v>
      </c>
      <c r="Q23" s="1">
        <f>+C23-15018.5</f>
        <v>40251.383600000001</v>
      </c>
      <c r="S23">
        <f ca="1">+(O23-G23)^2</f>
        <v>2.7302270106237505E-9</v>
      </c>
    </row>
    <row r="24" spans="1:19" ht="12.95" customHeight="1" x14ac:dyDescent="0.2">
      <c r="A24" s="4" t="s">
        <v>46</v>
      </c>
      <c r="B24" s="5" t="s">
        <v>47</v>
      </c>
      <c r="C24" s="4">
        <v>55653.868399999999</v>
      </c>
      <c r="D24" s="4">
        <v>5.0000000000000001E-4</v>
      </c>
      <c r="E24">
        <f>+(C24-C$7)/C$8</f>
        <v>2843.0536752520761</v>
      </c>
      <c r="F24">
        <f>ROUND(2*E24,0)/2</f>
        <v>2843</v>
      </c>
      <c r="G24">
        <f>+C24-(C$7+F24*C$8)</f>
        <v>1.9109999993816018E-2</v>
      </c>
      <c r="I24">
        <f>+G24</f>
        <v>1.9109999993816018E-2</v>
      </c>
      <c r="O24">
        <f ca="1">+C$11+C$12*$F24</f>
        <v>1.9574722260189435E-2</v>
      </c>
      <c r="Q24" s="1">
        <f>+C24-15018.5</f>
        <v>40635.368399999999</v>
      </c>
      <c r="S24">
        <f ca="1">+(O24-G24)^2</f>
        <v>2.1596678486324527E-7</v>
      </c>
    </row>
    <row r="25" spans="1:19" ht="12.95" customHeight="1" x14ac:dyDescent="0.2">
      <c r="A25" s="6" t="s">
        <v>48</v>
      </c>
      <c r="B25" s="7" t="s">
        <v>47</v>
      </c>
      <c r="C25" s="6">
        <v>56030.911399999997</v>
      </c>
      <c r="D25" s="6">
        <v>4.0000000000000002E-4</v>
      </c>
      <c r="E25">
        <f>+(C25-C$7)/C$8</f>
        <v>3902.0739825295468</v>
      </c>
      <c r="F25">
        <f>ROUND(2*E25,0)/2</f>
        <v>3902</v>
      </c>
      <c r="G25">
        <f>+C25-(C$7+F25*C$8)</f>
        <v>2.6339999996707775E-2</v>
      </c>
      <c r="I25">
        <f>+G25</f>
        <v>2.6339999996707775E-2</v>
      </c>
      <c r="O25">
        <f ca="1">+C$11+C$12*$F25</f>
        <v>2.641081895794202E-2</v>
      </c>
      <c r="Q25" s="1">
        <f>+C25-15018.5</f>
        <v>41012.411399999997</v>
      </c>
      <c r="S25">
        <f ca="1">+(O25-G25)^2</f>
        <v>5.0153252702975316E-9</v>
      </c>
    </row>
    <row r="26" spans="1:19" ht="12.95" customHeight="1" x14ac:dyDescent="0.2">
      <c r="C26" s="2"/>
      <c r="D26" s="2"/>
      <c r="Q26" s="1"/>
    </row>
    <row r="27" spans="1:19" ht="12.95" customHeight="1" x14ac:dyDescent="0.2">
      <c r="C27" s="2"/>
      <c r="D27" s="2"/>
      <c r="Q27" s="1"/>
    </row>
    <row r="28" spans="1:19" ht="12.95" customHeight="1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2024-03-06T04:53:26Z</dcterms:modified>
</cp:coreProperties>
</file>