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EC6CA35-9679-4C9C-8273-F80F31E96D0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E21" i="1"/>
  <c r="F21" i="1"/>
  <c r="A21" i="1"/>
  <c r="H20" i="1"/>
  <c r="G11" i="1"/>
  <c r="E14" i="1"/>
  <c r="C17" i="1"/>
  <c r="Q21" i="1"/>
  <c r="G21" i="1"/>
  <c r="H21" i="1"/>
  <c r="C11" i="1"/>
  <c r="E15" i="1" l="1"/>
  <c r="C12" i="1"/>
  <c r="C16" i="1" l="1"/>
  <c r="D18" i="1" s="1"/>
  <c r="O21" i="1"/>
  <c r="S21" i="1" s="1"/>
  <c r="O23" i="1"/>
  <c r="S23" i="1" s="1"/>
  <c r="O24" i="1"/>
  <c r="S24" i="1" s="1"/>
  <c r="C15" i="1"/>
  <c r="O22" i="1"/>
  <c r="S22" i="1" s="1"/>
  <c r="O25" i="1"/>
  <c r="S25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<sst xmlns="http://schemas.openxmlformats.org/spreadsheetml/2006/main" count="60" uniqueCount="55">
  <si>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</si>
  <si>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</si>
  <si>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</si>
  <si>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</si>
  <si>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</si>
  <si>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</si>
  <si>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</si>
  <si>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</si>
  <si>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</si>
  <si>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</si>
  <si>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</si>
  <si>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</si>
  <si>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</si>
  <si>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</si>
  <si>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</si>
  <si>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</si>
  <si>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</si>
  <si>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</si>
  <si>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</si>
  <si>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</si>
  <si>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</si>
  <si>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</si>
  <si>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</si>
  <si>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</si>
  <si>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</si>
  <si>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</si>
  <si>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</si>
  <si>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</si>
  <si>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</si>
  <si>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</si>
  <si>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</si>
  <si>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</si>
  <si>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</si>
  <si>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</si>
  <si>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</si>
  <si>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</si>
  <si>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</si>
  <si>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</si>
  <si>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</si>
  <si>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</si>
  <si>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</si>
  <si>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</si>
  <si>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G0949-1089</t>
  </si>
  <si>
    <t>G0949-1089_Ser.xls</t>
  </si>
  <si>
    <t>UCAC2</t>
  </si>
  <si>
    <t>Ser</t>
  </si>
  <si>
    <t>VSX</t>
  </si>
  <si>
    <t>IBVS 5894</t>
  </si>
  <si>
    <t>I</t>
  </si>
  <si>
    <t>IBVS 5945</t>
  </si>
  <si>
    <t>IBVS 5992</t>
  </si>
  <si>
    <t>IBVS 6029</t>
  </si>
  <si>
    <t>II</t>
  </si>
  <si>
    <t>V0578 Ser / GSC 0949-1089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</si>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</sst>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V0578 Ser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1080</c:v>
                </c:pt>
                <c:pt idx="2">
                  <c:v>1971</c:v>
                </c:pt>
                <c:pt idx="3">
                  <c:v>3028</c:v>
                </c:pt>
                <c:pt idx="4">
                  <c:v>4093.5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9A-491E-8BA6-E74B9C82AA0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1080</c:v>
                </c:pt>
                <c:pt idx="2">
                  <c:v>1971</c:v>
                </c:pt>
                <c:pt idx="3">
                  <c:v>3028</c:v>
                </c:pt>
                <c:pt idx="4">
                  <c:v>4093.5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4.0599998974357732E-3</c:v>
                </c:pt>
                <c:pt idx="2">
                  <c:v>7.786999900417868E-3</c:v>
                </c:pt>
                <c:pt idx="3">
                  <c:v>4.5159998990129679E-3</c:v>
                </c:pt>
                <c:pt idx="4">
                  <c:v>4.9694999033818021E-3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9A-491E-8BA6-E74B9C82AA0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1080</c:v>
                </c:pt>
                <c:pt idx="2">
                  <c:v>1971</c:v>
                </c:pt>
                <c:pt idx="3">
                  <c:v>3028</c:v>
                </c:pt>
                <c:pt idx="4">
                  <c:v>4093.5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9A-491E-8BA6-E74B9C82AA0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1080</c:v>
                </c:pt>
                <c:pt idx="2">
                  <c:v>1971</c:v>
                </c:pt>
                <c:pt idx="3">
                  <c:v>3028</c:v>
                </c:pt>
                <c:pt idx="4">
                  <c:v>4093.5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9A-491E-8BA6-E74B9C82AA0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1080</c:v>
                </c:pt>
                <c:pt idx="2">
                  <c:v>1971</c:v>
                </c:pt>
                <c:pt idx="3">
                  <c:v>3028</c:v>
                </c:pt>
                <c:pt idx="4">
                  <c:v>4093.5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9A-491E-8BA6-E74B9C82AA0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1080</c:v>
                </c:pt>
                <c:pt idx="2">
                  <c:v>1971</c:v>
                </c:pt>
                <c:pt idx="3">
                  <c:v>3028</c:v>
                </c:pt>
                <c:pt idx="4">
                  <c:v>4093.5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9A-491E-8BA6-E74B9C82AA0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1080</c:v>
                </c:pt>
                <c:pt idx="2">
                  <c:v>1971</c:v>
                </c:pt>
                <c:pt idx="3">
                  <c:v>3028</c:v>
                </c:pt>
                <c:pt idx="4">
                  <c:v>4093.5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9A-491E-8BA6-E74B9C82AA0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1080</c:v>
                </c:pt>
                <c:pt idx="2">
                  <c:v>1971</c:v>
                </c:pt>
                <c:pt idx="3">
                  <c:v>3028</c:v>
                </c:pt>
                <c:pt idx="4">
                  <c:v>4093.5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2.2184866473505148E-3</c:v>
                </c:pt>
                <c:pt idx="1">
                  <c:v>3.3056600730153466E-3</c:v>
                </c:pt>
                <c:pt idx="2">
                  <c:v>4.2025781491888334E-3</c:v>
                </c:pt>
                <c:pt idx="3">
                  <c:v>5.2665988074552476E-3</c:v>
                </c:pt>
                <c:pt idx="4">
                  <c:v>6.339175923238469E-3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9A-491E-8BA6-E74B9C82AA0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1080</c:v>
                </c:pt>
                <c:pt idx="2">
                  <c:v>1971</c:v>
                </c:pt>
                <c:pt idx="3">
                  <c:v>3028</c:v>
                </c:pt>
                <c:pt idx="4">
                  <c:v>4093.5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49A-491E-8BA6-E74B9C82A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823800"/>
        <c:axId val="1"/>
      </c:scatterChart>
      <c:valAx>
        <c:axId val="728823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823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9A9AAEC-EDF8-E142-9271-F91FBB2F7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3" t="s">
        <v>53</v>
      </c>
      <c r="E1" s="5" t="s">
        <v>43</v>
      </c>
    </row>
    <row r="2" spans="1:7" s="5" customFormat="1" ht="12.95" customHeight="1" x14ac:dyDescent="0.2">
      <c r="A2" s="5" t="s">
        <v>24</v>
      </c>
      <c r="B2" s="5" t="s">
        <v>44</v>
      </c>
      <c r="C2" s="6" t="s">
        <v>41</v>
      </c>
      <c r="D2" s="7" t="s">
        <v>45</v>
      </c>
      <c r="E2" s="2" t="s">
        <v>42</v>
      </c>
      <c r="F2" s="5" t="e">
        <v>#N/A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34">
        <v>54606.708000000101</v>
      </c>
      <c r="D7" s="12" t="s">
        <v>46</v>
      </c>
    </row>
    <row r="8" spans="1:7" s="5" customFormat="1" ht="12.95" customHeight="1" x14ac:dyDescent="0.2">
      <c r="A8" s="5" t="s">
        <v>3</v>
      </c>
      <c r="C8" s="34">
        <v>0.350103</v>
      </c>
      <c r="D8" s="12" t="s">
        <v>46</v>
      </c>
    </row>
    <row r="9" spans="1:7" s="5" customFormat="1" ht="12.95" customHeight="1" x14ac:dyDescent="0.2">
      <c r="A9" s="13" t="s">
        <v>30</v>
      </c>
      <c r="C9" s="14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INTERCEPT(INDIRECT($G$11):G992,INDIRECT($F$11):F992)</f>
        <v>2.2184866473505148E-3</v>
      </c>
      <c r="D11" s="7"/>
      <c r="F11" s="17" t="str">
        <f>"F"&amp;E19</f>
        <v>F21</v>
      </c>
      <c r="G11" s="16" t="str">
        <f>"G"&amp;E19</f>
        <v>G21</v>
      </c>
    </row>
    <row r="12" spans="1:7" s="5" customFormat="1" ht="12.95" customHeight="1" x14ac:dyDescent="0.2">
      <c r="A12" s="5" t="s">
        <v>16</v>
      </c>
      <c r="C12" s="16">
        <f ca="1">SLOPE(INDIRECT($G$11):G992,INDIRECT($F$11):F992)</f>
        <v>1.0066420608007705E-6</v>
      </c>
      <c r="D12" s="7"/>
    </row>
    <row r="13" spans="1:7" s="5" customFormat="1" ht="12.95" customHeight="1" x14ac:dyDescent="0.2">
      <c r="A13" s="5" t="s">
        <v>19</v>
      </c>
      <c r="C13" s="7" t="s">
        <v>13</v>
      </c>
      <c r="D13" s="18" t="s">
        <v>37</v>
      </c>
      <c r="E13" s="14">
        <v>1</v>
      </c>
    </row>
    <row r="14" spans="1:7" s="5" customFormat="1" ht="12.95" customHeight="1" x14ac:dyDescent="0.2">
      <c r="D14" s="18" t="s">
        <v>32</v>
      </c>
      <c r="E14" s="19">
        <f ca="1">NOW()+15018.5+$C$9/24</f>
        <v>60375.74850833333</v>
      </c>
    </row>
    <row r="15" spans="1:7" s="5" customFormat="1" ht="12.95" customHeight="1" x14ac:dyDescent="0.2">
      <c r="A15" s="20" t="s">
        <v>17</v>
      </c>
      <c r="C15" s="21">
        <f ca="1">(C7+C11)+(C8+C12)*INT(MAX(F21:F3533))</f>
        <v>56039.685917672701</v>
      </c>
      <c r="D15" s="18" t="s">
        <v>38</v>
      </c>
      <c r="E15" s="19">
        <f ca="1">ROUND(2*(E14-$C$7)/$C$8,0)/2+E13</f>
        <v>16479</v>
      </c>
    </row>
    <row r="16" spans="1:7" s="5" customFormat="1" ht="12.95" customHeight="1" x14ac:dyDescent="0.2">
      <c r="A16" s="8" t="s">
        <v>4</v>
      </c>
      <c r="C16" s="22">
        <f ca="1">+C8+C12</f>
        <v>0.35010400664206082</v>
      </c>
      <c r="D16" s="18" t="s">
        <v>39</v>
      </c>
      <c r="E16" s="16">
        <f ca="1">ROUND(2*(E14-$C$15)/$C$16,0)/2+E13</f>
        <v>12386</v>
      </c>
    </row>
    <row r="17" spans="1:19" s="5" customFormat="1" ht="12.95" customHeight="1" thickBot="1" x14ac:dyDescent="0.25">
      <c r="A17" s="18" t="s">
        <v>29</v>
      </c>
      <c r="C17" s="5">
        <f>COUNT(C21:C2191)</f>
        <v>5</v>
      </c>
      <c r="D17" s="18" t="s">
        <v>33</v>
      </c>
      <c r="E17" s="23">
        <f ca="1">+$C$15+$C$16*E16-15018.5-$C$9/24</f>
        <v>45357.969977274603</v>
      </c>
    </row>
    <row r="18" spans="1:19" s="5" customFormat="1" ht="12.95" customHeight="1" thickTop="1" thickBot="1" x14ac:dyDescent="0.25">
      <c r="A18" s="8" t="s">
        <v>5</v>
      </c>
      <c r="C18" s="24">
        <f ca="1">+C15</f>
        <v>56039.685917672701</v>
      </c>
      <c r="D18" s="25">
        <f ca="1">+C16</f>
        <v>0.35010400664206082</v>
      </c>
      <c r="E18" s="26" t="s">
        <v>34</v>
      </c>
    </row>
    <row r="19" spans="1:19" s="5" customFormat="1" ht="12.95" customHeight="1" thickTop="1" x14ac:dyDescent="0.2">
      <c r="A19" s="27" t="s">
        <v>35</v>
      </c>
      <c r="E19" s="28">
        <v>21</v>
      </c>
      <c r="S19" s="5">
        <f ca="1">SQRT(SUM(S21:S50)/(COUNT(S21:S50)-1))</f>
        <v>2.2791556543261876E-3</v>
      </c>
    </row>
    <row r="20" spans="1:19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tr">
        <f>A21</f>
        <v>VSX</v>
      </c>
      <c r="I20" s="29" t="s">
        <v>54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5" t="s">
        <v>14</v>
      </c>
      <c r="R20" s="31" t="s">
        <v>36</v>
      </c>
    </row>
    <row r="21" spans="1:19" s="5" customFormat="1" ht="12.95" customHeight="1" x14ac:dyDescent="0.2">
      <c r="A21" s="5" t="str">
        <f>D7</f>
        <v>VSX</v>
      </c>
      <c r="C21" s="11">
        <f>C$7</f>
        <v>54606.708000000101</v>
      </c>
      <c r="D21" s="11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2.2184866473505148E-3</v>
      </c>
      <c r="Q21" s="32">
        <f>+C21-15018.5</f>
        <v>39588.208000000101</v>
      </c>
      <c r="S21" s="5">
        <f ca="1">+(O21-G21)^2</f>
        <v>4.9216830044725271E-6</v>
      </c>
    </row>
    <row r="22" spans="1:19" s="5" customFormat="1" ht="12.95" customHeight="1" x14ac:dyDescent="0.2">
      <c r="A22" s="3" t="s">
        <v>47</v>
      </c>
      <c r="B22" s="4" t="s">
        <v>48</v>
      </c>
      <c r="C22" s="3">
        <v>54984.823299999996</v>
      </c>
      <c r="D22" s="3">
        <v>1.6000000000000001E-3</v>
      </c>
      <c r="E22" s="5">
        <f>+(C22-C$7)/C$8</f>
        <v>1080.0115965869925</v>
      </c>
      <c r="F22" s="5">
        <f>ROUND(2*E22,0)/2</f>
        <v>1080</v>
      </c>
      <c r="G22" s="5">
        <f>+C22-(C$7+F22*C$8)</f>
        <v>4.0599998974357732E-3</v>
      </c>
      <c r="I22" s="5">
        <f>+G22</f>
        <v>4.0599998974357732E-3</v>
      </c>
      <c r="O22" s="5">
        <f ca="1">+C$11+C$12*$F22</f>
        <v>3.3056600730153466E-3</v>
      </c>
      <c r="Q22" s="32">
        <f>+C22-15018.5</f>
        <v>39966.323299999996</v>
      </c>
      <c r="S22" s="5">
        <f ca="1">+(O22-G22)^2</f>
        <v>5.6902857070664005E-7</v>
      </c>
    </row>
    <row r="23" spans="1:19" s="5" customFormat="1" ht="12.95" customHeight="1" x14ac:dyDescent="0.2">
      <c r="A23" s="3" t="s">
        <v>49</v>
      </c>
      <c r="B23" s="4" t="s">
        <v>48</v>
      </c>
      <c r="C23" s="3">
        <v>55296.768799999998</v>
      </c>
      <c r="D23" s="3">
        <v>2.0000000000000001E-4</v>
      </c>
      <c r="E23" s="5">
        <f>+(C23-C$7)/C$8</f>
        <v>1971.022242025625</v>
      </c>
      <c r="F23" s="5">
        <f>ROUND(2*E23,0)/2</f>
        <v>1971</v>
      </c>
      <c r="G23" s="5">
        <f>+C23-(C$7+F23*C$8)</f>
        <v>7.786999900417868E-3</v>
      </c>
      <c r="I23" s="5">
        <f>+G23</f>
        <v>7.786999900417868E-3</v>
      </c>
      <c r="O23" s="5">
        <f ca="1">+C$11+C$12*$F23</f>
        <v>4.2025781491888334E-3</v>
      </c>
      <c r="Q23" s="32">
        <f>+C23-15018.5</f>
        <v>40278.268799999998</v>
      </c>
      <c r="S23" s="5">
        <f ca="1">+(O23-G23)^2</f>
        <v>1.2848079290683819E-5</v>
      </c>
    </row>
    <row r="24" spans="1:19" s="5" customFormat="1" ht="12.95" customHeight="1" x14ac:dyDescent="0.2">
      <c r="A24" s="3" t="s">
        <v>50</v>
      </c>
      <c r="B24" s="4" t="s">
        <v>48</v>
      </c>
      <c r="C24" s="3">
        <v>55666.824399999998</v>
      </c>
      <c r="D24" s="3">
        <v>5.0000000000000001E-4</v>
      </c>
      <c r="E24" s="5">
        <f>+(C24-C$7)/C$8</f>
        <v>3028.0128990608396</v>
      </c>
      <c r="F24" s="5">
        <f>ROUND(2*E24,0)/2</f>
        <v>3028</v>
      </c>
      <c r="G24" s="5">
        <f>+C24-(C$7+F24*C$8)</f>
        <v>4.5159998990129679E-3</v>
      </c>
      <c r="I24" s="5">
        <f>+G24</f>
        <v>4.5159998990129679E-3</v>
      </c>
      <c r="O24" s="5">
        <f ca="1">+C$11+C$12*$F24</f>
        <v>5.2665988074552476E-3</v>
      </c>
      <c r="Q24" s="32">
        <f>+C24-15018.5</f>
        <v>40648.324399999998</v>
      </c>
      <c r="S24" s="5">
        <f ca="1">+(O24-G24)^2</f>
        <v>5.6339872135474163E-7</v>
      </c>
    </row>
    <row r="25" spans="1:19" s="5" customFormat="1" ht="12.95" customHeight="1" x14ac:dyDescent="0.2">
      <c r="A25" s="3" t="s">
        <v>51</v>
      </c>
      <c r="B25" s="4" t="s">
        <v>52</v>
      </c>
      <c r="C25" s="3">
        <v>56039.859600000003</v>
      </c>
      <c r="D25" s="3">
        <v>2.9999999999999997E-4</v>
      </c>
      <c r="E25" s="5">
        <f>+(C25-C$7)/C$8</f>
        <v>4093.5141943939434</v>
      </c>
      <c r="F25" s="5">
        <f>ROUND(2*E25,0)/2</f>
        <v>4093.5</v>
      </c>
      <c r="G25" s="5">
        <f>+C25-(C$7+F25*C$8)</f>
        <v>4.9694999033818021E-3</v>
      </c>
      <c r="I25" s="5">
        <f>+G25</f>
        <v>4.9694999033818021E-3</v>
      </c>
      <c r="O25" s="5">
        <f ca="1">+C$11+C$12*$F25</f>
        <v>6.339175923238469E-3</v>
      </c>
      <c r="Q25" s="32">
        <f>+C25-15018.5</f>
        <v>41021.359600000003</v>
      </c>
      <c r="S25" s="5">
        <f ca="1">+(O25-G25)^2</f>
        <v>1.8760123993704006E-6</v>
      </c>
    </row>
    <row r="26" spans="1:19" s="5" customFormat="1" ht="12.95" customHeight="1" x14ac:dyDescent="0.2">
      <c r="C26" s="11"/>
      <c r="D26" s="11"/>
      <c r="Q26" s="32"/>
    </row>
    <row r="27" spans="1:19" s="5" customFormat="1" ht="12.95" customHeight="1" x14ac:dyDescent="0.2">
      <c r="C27" s="11"/>
      <c r="D27" s="11"/>
      <c r="Q27" s="32"/>
    </row>
    <row r="28" spans="1:19" s="5" customFormat="1" ht="12.95" customHeight="1" x14ac:dyDescent="0.2">
      <c r="C28" s="11"/>
      <c r="D28" s="11"/>
      <c r="Q28" s="32"/>
    </row>
    <row r="29" spans="1:19" s="5" customFormat="1" ht="12.95" customHeight="1" x14ac:dyDescent="0.2">
      <c r="C29" s="11"/>
      <c r="D29" s="11"/>
      <c r="Q29" s="32"/>
    </row>
    <row r="30" spans="1:19" s="5" customFormat="1" ht="12.95" customHeight="1" x14ac:dyDescent="0.2">
      <c r="C30" s="11"/>
      <c r="D30" s="11"/>
      <c r="Q30" s="32"/>
    </row>
    <row r="31" spans="1:19" s="5" customFormat="1" ht="12.95" customHeight="1" x14ac:dyDescent="0.2">
      <c r="C31" s="11"/>
      <c r="D31" s="11"/>
      <c r="Q31" s="32"/>
    </row>
    <row r="32" spans="1:19" s="5" customFormat="1" ht="12.95" customHeight="1" x14ac:dyDescent="0.2">
      <c r="C32" s="11"/>
      <c r="D32" s="11"/>
      <c r="Q32" s="32"/>
    </row>
    <row r="33" spans="3:17" s="5" customFormat="1" ht="12.95" customHeight="1" x14ac:dyDescent="0.2">
      <c r="C33" s="11"/>
      <c r="D33" s="11"/>
      <c r="Q33" s="32"/>
    </row>
    <row r="34" spans="3:17" s="5" customFormat="1" ht="12.95" customHeight="1" x14ac:dyDescent="0.2">
      <c r="C34" s="11"/>
      <c r="D34" s="11"/>
    </row>
    <row r="35" spans="3:17" s="5" customFormat="1" ht="12.95" customHeight="1" x14ac:dyDescent="0.2">
      <c r="C35" s="11"/>
      <c r="D35" s="1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2024-03-06T04:57:51Z</dcterms:modified>
</cp:coreProperties>
</file>