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32B0F63-2756-4377-82C8-8960FB7BCF7A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F11" i="2" l="1"/>
  <c r="E22" i="2"/>
  <c r="F22" i="2"/>
  <c r="G22" i="2"/>
  <c r="I22" i="2"/>
  <c r="E23" i="2"/>
  <c r="F23" i="2"/>
  <c r="G23" i="2"/>
  <c r="I23" i="2"/>
  <c r="E24" i="2"/>
  <c r="F24" i="2"/>
  <c r="G24" i="2"/>
  <c r="I24" i="2"/>
  <c r="E25" i="2"/>
  <c r="F25" i="2"/>
  <c r="G25" i="2"/>
  <c r="E26" i="2"/>
  <c r="F26" i="2"/>
  <c r="G26" i="2"/>
  <c r="I26" i="2"/>
  <c r="G11" i="2"/>
  <c r="E14" i="2"/>
  <c r="H20" i="2"/>
  <c r="A21" i="2"/>
  <c r="C21" i="2"/>
  <c r="Q21" i="2"/>
  <c r="Q22" i="2"/>
  <c r="Q23" i="2"/>
  <c r="Q24" i="2"/>
  <c r="I25" i="2"/>
  <c r="Q25" i="2"/>
  <c r="Q26" i="2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F11" i="1"/>
  <c r="Q22" i="1"/>
  <c r="Q23" i="1"/>
  <c r="Q24" i="1"/>
  <c r="Q25" i="1"/>
  <c r="Q26" i="1"/>
  <c r="C21" i="1"/>
  <c r="E21" i="1"/>
  <c r="F21" i="1"/>
  <c r="G21" i="1"/>
  <c r="H21" i="1"/>
  <c r="A21" i="1"/>
  <c r="H20" i="1"/>
  <c r="G11" i="1"/>
  <c r="E14" i="1"/>
  <c r="E15" i="1" s="1"/>
  <c r="C17" i="1"/>
  <c r="Q21" i="1"/>
  <c r="C17" i="2"/>
  <c r="E21" i="2"/>
  <c r="F21" i="2"/>
  <c r="G21" i="2"/>
  <c r="H21" i="2"/>
  <c r="C12" i="2"/>
  <c r="C11" i="2"/>
  <c r="C12" i="1"/>
  <c r="C11" i="1"/>
  <c r="O22" i="1" l="1"/>
  <c r="S22" i="1" s="1"/>
  <c r="O24" i="1"/>
  <c r="S24" i="1" s="1"/>
  <c r="O26" i="1"/>
  <c r="S26" i="1" s="1"/>
  <c r="O25" i="1"/>
  <c r="S25" i="1" s="1"/>
  <c r="O23" i="1"/>
  <c r="S23" i="1" s="1"/>
  <c r="O21" i="1"/>
  <c r="S21" i="1" s="1"/>
  <c r="C15" i="1"/>
  <c r="C16" i="1"/>
  <c r="D18" i="1" s="1"/>
  <c r="O24" i="2"/>
  <c r="S24" i="2" s="1"/>
  <c r="O23" i="2"/>
  <c r="S23" i="2" s="1"/>
  <c r="C15" i="2"/>
  <c r="O25" i="2"/>
  <c r="S25" i="2" s="1"/>
  <c r="O21" i="2"/>
  <c r="S21" i="2" s="1"/>
  <c r="O26" i="2"/>
  <c r="S26" i="2" s="1"/>
  <c r="O22" i="2"/>
  <c r="S22" i="2" s="1"/>
  <c r="C16" i="2"/>
  <c r="D18" i="2" s="1"/>
  <c r="E15" i="2"/>
  <c r="S19" i="1" l="1"/>
  <c r="S19" i="2"/>
  <c r="E16" i="1"/>
  <c r="E17" i="1" s="1"/>
  <c r="C18" i="1"/>
  <c r="C18" i="2"/>
  <c r="E16" i="2"/>
  <c r="E17" i="2" s="1"/>
</calcChain>
</file>

<file path=xl/sharedStrings.xml><?xml version="1.0" encoding="utf-8"?>
<sst xmlns="http://schemas.openxmlformats.org/spreadsheetml/2006/main" count="124" uniqueCount="56">
  <si>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</si>
  <si>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</si>
  <si>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</si>
  <si>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</si>
  <si>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</si>
  <si>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</si>
  <si>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</si>
  <si>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</si>
  <si>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</si>
  <si>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</si>
  <si>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</si>
  <si>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</si>
  <si>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</si>
  <si>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</si>
  <si>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</si>
  <si>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</si>
  <si>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</si>
  <si>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</si>
  <si>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</si>
  <si>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</si>
  <si>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</si>
  <si>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</si>
  <si>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</si>
  <si>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</si>
  <si>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</si>
  <si>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</si>
  <si>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</si>
  <si>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</si>
  <si>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</si>
  <si>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</si>
  <si>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</si>
  <si>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</si>
  <si>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</si>
  <si>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</si>
  <si>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</si>
  <si>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</si>
  <si>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</si>
  <si>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</si>
  <si>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</si>
  <si>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</si>
  <si>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</si>
  <si>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</si>
  <si>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G4911-1235</t>
  </si>
  <si>
    <t>G4911-1235_Sex.xls</t>
  </si>
  <si>
    <t>ED</t>
  </si>
  <si>
    <t>Sex</t>
  </si>
  <si>
    <t>VSX</t>
  </si>
  <si>
    <t>IBVS 5894</t>
  </si>
  <si>
    <t>I</t>
  </si>
  <si>
    <t>IBVS 5945</t>
  </si>
  <si>
    <t>IBVS 5992</t>
  </si>
  <si>
    <t>IBVS 6029</t>
  </si>
  <si>
    <t>ToMcat</t>
  </si>
  <si>
    <t>BX Sex  / GSC 4911-1235</t>
  </si>
  <si>
    <t>CCD</t>
  </si>
  <si>
    <t>BX Sex / GSC 4911-1235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</si>
</sst>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5">
    <xf numFmtId="0" fontId="0" fillId="0" borderId="0" xfId="0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BX Sex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5758</c:v>
                </c:pt>
                <c:pt idx="2">
                  <c:v>7103.5</c:v>
                </c:pt>
                <c:pt idx="3">
                  <c:v>8151</c:v>
                </c:pt>
                <c:pt idx="4">
                  <c:v>9396</c:v>
                </c:pt>
                <c:pt idx="5">
                  <c:v>9642.5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AA-4B8B-88B2-5C808945F6C2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5758</c:v>
                </c:pt>
                <c:pt idx="2">
                  <c:v>7103.5</c:v>
                </c:pt>
                <c:pt idx="3">
                  <c:v>8151</c:v>
                </c:pt>
                <c:pt idx="4">
                  <c:v>9396</c:v>
                </c:pt>
                <c:pt idx="5">
                  <c:v>9642.5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1">
                  <c:v>-1.2834000066504814E-2</c:v>
                </c:pt>
                <c:pt idx="2">
                  <c:v>-7.1380500070517883E-2</c:v>
                </c:pt>
                <c:pt idx="3">
                  <c:v>6.0826999928394798E-2</c:v>
                </c:pt>
                <c:pt idx="4">
                  <c:v>-9.7080000632558949E-3</c:v>
                </c:pt>
                <c:pt idx="5">
                  <c:v>-3.6477500063483603E-2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AA-4B8B-88B2-5C808945F6C2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5758</c:v>
                </c:pt>
                <c:pt idx="2">
                  <c:v>7103.5</c:v>
                </c:pt>
                <c:pt idx="3">
                  <c:v>8151</c:v>
                </c:pt>
                <c:pt idx="4">
                  <c:v>9396</c:v>
                </c:pt>
                <c:pt idx="5">
                  <c:v>9642.5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AA-4B8B-88B2-5C808945F6C2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5758</c:v>
                </c:pt>
                <c:pt idx="2">
                  <c:v>7103.5</c:v>
                </c:pt>
                <c:pt idx="3">
                  <c:v>8151</c:v>
                </c:pt>
                <c:pt idx="4">
                  <c:v>9396</c:v>
                </c:pt>
                <c:pt idx="5">
                  <c:v>9642.5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AA-4B8B-88B2-5C808945F6C2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5758</c:v>
                </c:pt>
                <c:pt idx="2">
                  <c:v>7103.5</c:v>
                </c:pt>
                <c:pt idx="3">
                  <c:v>8151</c:v>
                </c:pt>
                <c:pt idx="4">
                  <c:v>9396</c:v>
                </c:pt>
                <c:pt idx="5">
                  <c:v>9642.5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AA-4B8B-88B2-5C808945F6C2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5758</c:v>
                </c:pt>
                <c:pt idx="2">
                  <c:v>7103.5</c:v>
                </c:pt>
                <c:pt idx="3">
                  <c:v>8151</c:v>
                </c:pt>
                <c:pt idx="4">
                  <c:v>9396</c:v>
                </c:pt>
                <c:pt idx="5">
                  <c:v>9642.5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AA-4B8B-88B2-5C808945F6C2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5758</c:v>
                </c:pt>
                <c:pt idx="2">
                  <c:v>7103.5</c:v>
                </c:pt>
                <c:pt idx="3">
                  <c:v>8151</c:v>
                </c:pt>
                <c:pt idx="4">
                  <c:v>9396</c:v>
                </c:pt>
                <c:pt idx="5">
                  <c:v>9642.5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AA-4B8B-88B2-5C808945F6C2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5758</c:v>
                </c:pt>
                <c:pt idx="2">
                  <c:v>7103.5</c:v>
                </c:pt>
                <c:pt idx="3">
                  <c:v>8151</c:v>
                </c:pt>
                <c:pt idx="4">
                  <c:v>9396</c:v>
                </c:pt>
                <c:pt idx="5">
                  <c:v>9642.5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-4.9496174135027658E-3</c:v>
                </c:pt>
                <c:pt idx="1">
                  <c:v>-1.068235700875262E-2</c:v>
                </c:pt>
                <c:pt idx="2">
                  <c:v>-1.2021954286524188E-2</c:v>
                </c:pt>
                <c:pt idx="3">
                  <c:v>-1.3064858893336313E-2</c:v>
                </c:pt>
                <c:pt idx="4">
                  <c:v>-1.4304397065633304E-2</c:v>
                </c:pt>
                <c:pt idx="5">
                  <c:v>-1.4549815667618208E-2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BAA-4B8B-88B2-5C808945F6C2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5758</c:v>
                </c:pt>
                <c:pt idx="2">
                  <c:v>7103.5</c:v>
                </c:pt>
                <c:pt idx="3">
                  <c:v>8151</c:v>
                </c:pt>
                <c:pt idx="4">
                  <c:v>9396</c:v>
                </c:pt>
                <c:pt idx="5">
                  <c:v>9642.5</c:v>
                </c:pt>
              </c:numCache>
            </c:numRef>
          </c:xVal>
          <c:yVal>
            <c:numRef>
              <c:f>'Active 1'!$R$21:$R$999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BAA-4B8B-88B2-5C808945F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5933416"/>
        <c:axId val="1"/>
      </c:scatterChart>
      <c:valAx>
        <c:axId val="845933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5933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BX Sex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4066</c:v>
                </c:pt>
                <c:pt idx="2">
                  <c:v>5016</c:v>
                </c:pt>
                <c:pt idx="3">
                  <c:v>5756</c:v>
                </c:pt>
                <c:pt idx="4">
                  <c:v>6635</c:v>
                </c:pt>
                <c:pt idx="5">
                  <c:v>6809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3C-4A0A-B7B3-DE263C56D6AE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4066</c:v>
                </c:pt>
                <c:pt idx="2">
                  <c:v>5016</c:v>
                </c:pt>
                <c:pt idx="3">
                  <c:v>5756</c:v>
                </c:pt>
                <c:pt idx="4">
                  <c:v>6635</c:v>
                </c:pt>
                <c:pt idx="5">
                  <c:v>6809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1">
                  <c:v>1.2599999929079786E-2</c:v>
                </c:pt>
                <c:pt idx="2">
                  <c:v>1.1799999927461613E-2</c:v>
                </c:pt>
                <c:pt idx="3">
                  <c:v>1.7099999931815546E-2</c:v>
                </c:pt>
                <c:pt idx="4">
                  <c:v>1.7499999936262611E-2</c:v>
                </c:pt>
                <c:pt idx="5">
                  <c:v>1.9599999934143852E-2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3C-4A0A-B7B3-DE263C56D6AE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4066</c:v>
                </c:pt>
                <c:pt idx="2">
                  <c:v>5016</c:v>
                </c:pt>
                <c:pt idx="3">
                  <c:v>5756</c:v>
                </c:pt>
                <c:pt idx="4">
                  <c:v>6635</c:v>
                </c:pt>
                <c:pt idx="5">
                  <c:v>6809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63C-4A0A-B7B3-DE263C56D6AE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4066</c:v>
                </c:pt>
                <c:pt idx="2">
                  <c:v>5016</c:v>
                </c:pt>
                <c:pt idx="3">
                  <c:v>5756</c:v>
                </c:pt>
                <c:pt idx="4">
                  <c:v>6635</c:v>
                </c:pt>
                <c:pt idx="5">
                  <c:v>6809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63C-4A0A-B7B3-DE263C56D6AE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4066</c:v>
                </c:pt>
                <c:pt idx="2">
                  <c:v>5016</c:v>
                </c:pt>
                <c:pt idx="3">
                  <c:v>5756</c:v>
                </c:pt>
                <c:pt idx="4">
                  <c:v>6635</c:v>
                </c:pt>
                <c:pt idx="5">
                  <c:v>6809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63C-4A0A-B7B3-DE263C56D6AE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4066</c:v>
                </c:pt>
                <c:pt idx="2">
                  <c:v>5016</c:v>
                </c:pt>
                <c:pt idx="3">
                  <c:v>5756</c:v>
                </c:pt>
                <c:pt idx="4">
                  <c:v>6635</c:v>
                </c:pt>
                <c:pt idx="5">
                  <c:v>6809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63C-4A0A-B7B3-DE263C56D6AE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4066</c:v>
                </c:pt>
                <c:pt idx="2">
                  <c:v>5016</c:v>
                </c:pt>
                <c:pt idx="3">
                  <c:v>5756</c:v>
                </c:pt>
                <c:pt idx="4">
                  <c:v>6635</c:v>
                </c:pt>
                <c:pt idx="5">
                  <c:v>6809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63C-4A0A-B7B3-DE263C56D6AE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4066</c:v>
                </c:pt>
                <c:pt idx="2">
                  <c:v>5016</c:v>
                </c:pt>
                <c:pt idx="3">
                  <c:v>5756</c:v>
                </c:pt>
                <c:pt idx="4">
                  <c:v>6635</c:v>
                </c:pt>
                <c:pt idx="5">
                  <c:v>6809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1.0736200470955019E-4</c:v>
                </c:pt>
                <c:pt idx="1">
                  <c:v>1.1314787050520945E-2</c:v>
                </c:pt>
                <c:pt idx="2">
                  <c:v>1.3933344304215195E-2</c:v>
                </c:pt>
                <c:pt idx="3">
                  <c:v>1.5973062586040192E-2</c:v>
                </c:pt>
                <c:pt idx="4">
                  <c:v>1.8395917139721503E-2</c:v>
                </c:pt>
                <c:pt idx="5">
                  <c:v>1.8875526573556026E-2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63C-4A0A-B7B3-DE263C56D6AE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4066</c:v>
                </c:pt>
                <c:pt idx="2">
                  <c:v>5016</c:v>
                </c:pt>
                <c:pt idx="3">
                  <c:v>5756</c:v>
                </c:pt>
                <c:pt idx="4">
                  <c:v>6635</c:v>
                </c:pt>
                <c:pt idx="5">
                  <c:v>6809</c:v>
                </c:pt>
              </c:numCache>
            </c:numRef>
          </c:xVal>
          <c:yVal>
            <c:numRef>
              <c:f>'Active 2'!$R$21:$R$999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63C-4A0A-B7B3-DE263C56D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5928016"/>
        <c:axId val="1"/>
      </c:scatterChart>
      <c:valAx>
        <c:axId val="845928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5928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7B878CB-F400-0ECE-E514-29F0192353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A50FE505-D6CD-11B2-DFB6-3FA5AB5D8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5" customFormat="1" ht="20.25" x14ac:dyDescent="0.2">
      <c r="A1" s="33" t="s">
        <v>53</v>
      </c>
      <c r="E1" s="5" t="s">
        <v>43</v>
      </c>
    </row>
    <row r="2" spans="1:7" s="5" customFormat="1" ht="12.95" customHeight="1" x14ac:dyDescent="0.2">
      <c r="A2" s="5" t="s">
        <v>24</v>
      </c>
      <c r="B2" s="5" t="s">
        <v>44</v>
      </c>
      <c r="C2" s="6" t="s">
        <v>41</v>
      </c>
      <c r="D2" s="7" t="s">
        <v>45</v>
      </c>
      <c r="E2" s="2" t="s">
        <v>42</v>
      </c>
      <c r="F2" s="5" t="e">
        <v>#N/A</v>
      </c>
    </row>
    <row r="3" spans="1:7" s="5" customFormat="1" ht="12.95" customHeight="1" thickBot="1" x14ac:dyDescent="0.25"/>
    <row r="4" spans="1:7" s="5" customFormat="1" ht="12.95" customHeight="1" thickTop="1" thickBot="1" x14ac:dyDescent="0.25">
      <c r="A4" s="8" t="s">
        <v>0</v>
      </c>
      <c r="C4" s="9" t="s">
        <v>40</v>
      </c>
      <c r="D4" s="10" t="s">
        <v>40</v>
      </c>
    </row>
    <row r="5" spans="1:7" s="5" customFormat="1" ht="12.95" customHeight="1" x14ac:dyDescent="0.2"/>
    <row r="6" spans="1:7" s="5" customFormat="1" ht="12.95" customHeight="1" x14ac:dyDescent="0.2">
      <c r="A6" s="8" t="s">
        <v>1</v>
      </c>
    </row>
    <row r="7" spans="1:7" s="5" customFormat="1" ht="12.95" customHeight="1" x14ac:dyDescent="0.2">
      <c r="A7" s="5" t="s">
        <v>2</v>
      </c>
      <c r="C7" s="34">
        <v>53140.597000000067</v>
      </c>
      <c r="D7" s="12" t="s">
        <v>46</v>
      </c>
    </row>
    <row r="8" spans="1:7" s="5" customFormat="1" ht="12.95" customHeight="1" x14ac:dyDescent="0.2">
      <c r="A8" s="5" t="s">
        <v>3</v>
      </c>
      <c r="C8" s="34">
        <v>0.29962299999999997</v>
      </c>
      <c r="D8" s="12" t="s">
        <v>46</v>
      </c>
    </row>
    <row r="9" spans="1:7" s="5" customFormat="1" ht="12.95" customHeight="1" x14ac:dyDescent="0.2">
      <c r="A9" s="13" t="s">
        <v>30</v>
      </c>
      <c r="C9" s="14">
        <v>-9.5</v>
      </c>
      <c r="D9" s="5" t="s">
        <v>31</v>
      </c>
    </row>
    <row r="10" spans="1:7" s="5" customFormat="1" ht="12.95" customHeight="1" thickBot="1" x14ac:dyDescent="0.25">
      <c r="C10" s="15" t="s">
        <v>20</v>
      </c>
      <c r="D10" s="15" t="s">
        <v>21</v>
      </c>
    </row>
    <row r="11" spans="1:7" s="5" customFormat="1" ht="12.95" customHeight="1" x14ac:dyDescent="0.2">
      <c r="A11" s="5" t="s">
        <v>15</v>
      </c>
      <c r="C11" s="16">
        <f ca="1">INTERCEPT(INDIRECT($G$11):G992,INDIRECT($F$11):F992)</f>
        <v>-4.9496174135027658E-3</v>
      </c>
      <c r="D11" s="7"/>
      <c r="F11" s="17" t="str">
        <f>"F"&amp;E19</f>
        <v>F21</v>
      </c>
      <c r="G11" s="16" t="str">
        <f>"G"&amp;E19</f>
        <v>G21</v>
      </c>
    </row>
    <row r="12" spans="1:7" s="5" customFormat="1" ht="12.95" customHeight="1" x14ac:dyDescent="0.2">
      <c r="A12" s="5" t="s">
        <v>16</v>
      </c>
      <c r="C12" s="16">
        <f ca="1">SLOPE(INDIRECT($G$11):G992,INDIRECT($F$11):F992)</f>
        <v>-9.9561298979677917E-7</v>
      </c>
      <c r="D12" s="7"/>
    </row>
    <row r="13" spans="1:7" s="5" customFormat="1" ht="12.95" customHeight="1" x14ac:dyDescent="0.2">
      <c r="A13" s="5" t="s">
        <v>19</v>
      </c>
      <c r="C13" s="7" t="s">
        <v>13</v>
      </c>
      <c r="D13" s="18" t="s">
        <v>37</v>
      </c>
      <c r="E13" s="14">
        <v>1</v>
      </c>
    </row>
    <row r="14" spans="1:7" s="5" customFormat="1" ht="12.95" customHeight="1" x14ac:dyDescent="0.2">
      <c r="D14" s="18" t="s">
        <v>32</v>
      </c>
      <c r="E14" s="19">
        <f ca="1">NOW()+15018.5+$C$9/24</f>
        <v>60375.764507523148</v>
      </c>
    </row>
    <row r="15" spans="1:7" s="5" customFormat="1" ht="12.95" customHeight="1" x14ac:dyDescent="0.2">
      <c r="A15" s="20" t="s">
        <v>17</v>
      </c>
      <c r="C15" s="21">
        <f ca="1">(C7+C11)+(C8+C12)*INT(MAX(F21:F3533))</f>
        <v>56029.54741668221</v>
      </c>
      <c r="D15" s="18" t="s">
        <v>38</v>
      </c>
      <c r="E15" s="19">
        <f ca="1">ROUND(2*(E14-$C$7)/$C$8,0)/2+E13</f>
        <v>24148.5</v>
      </c>
    </row>
    <row r="16" spans="1:7" s="5" customFormat="1" ht="12.95" customHeight="1" x14ac:dyDescent="0.2">
      <c r="A16" s="8" t="s">
        <v>4</v>
      </c>
      <c r="C16" s="22">
        <f ca="1">+C8+C12</f>
        <v>0.2996220043870102</v>
      </c>
      <c r="D16" s="18" t="s">
        <v>39</v>
      </c>
      <c r="E16" s="16">
        <f ca="1">ROUND(2*(E14-$C$15)/$C$16,0)/2+E13</f>
        <v>14506.5</v>
      </c>
    </row>
    <row r="17" spans="1:19" s="5" customFormat="1" ht="12.95" customHeight="1" thickBot="1" x14ac:dyDescent="0.25">
      <c r="A17" s="18" t="s">
        <v>29</v>
      </c>
      <c r="C17" s="5">
        <f>COUNT(C21:C2191)</f>
        <v>6</v>
      </c>
      <c r="D17" s="18" t="s">
        <v>33</v>
      </c>
      <c r="E17" s="23">
        <f ca="1">+$C$15+$C$16*E16-15018.5-$C$9/24</f>
        <v>45357.909856655708</v>
      </c>
    </row>
    <row r="18" spans="1:19" s="5" customFormat="1" ht="12.95" customHeight="1" thickTop="1" thickBot="1" x14ac:dyDescent="0.25">
      <c r="A18" s="8" t="s">
        <v>5</v>
      </c>
      <c r="C18" s="24">
        <f ca="1">+C15</f>
        <v>56029.54741668221</v>
      </c>
      <c r="D18" s="25">
        <f ca="1">+C16</f>
        <v>0.2996220043870102</v>
      </c>
      <c r="E18" s="26" t="s">
        <v>34</v>
      </c>
    </row>
    <row r="19" spans="1:19" s="5" customFormat="1" ht="12.95" customHeight="1" thickTop="1" x14ac:dyDescent="0.2">
      <c r="A19" s="27" t="s">
        <v>35</v>
      </c>
      <c r="E19" s="28">
        <v>21</v>
      </c>
      <c r="S19" s="5">
        <f ca="1">SQRT(SUM(S21:S50)/(COUNT(S21:S50)-1))</f>
        <v>4.3622293031149298E-2</v>
      </c>
    </row>
    <row r="20" spans="1:19" s="5" customFormat="1" ht="12.95" customHeight="1" thickBot="1" x14ac:dyDescent="0.25">
      <c r="A20" s="15" t="s">
        <v>6</v>
      </c>
      <c r="B20" s="15" t="s">
        <v>7</v>
      </c>
      <c r="C20" s="15" t="s">
        <v>8</v>
      </c>
      <c r="D20" s="15" t="s">
        <v>12</v>
      </c>
      <c r="E20" s="15" t="s">
        <v>9</v>
      </c>
      <c r="F20" s="15" t="s">
        <v>10</v>
      </c>
      <c r="G20" s="15" t="s">
        <v>11</v>
      </c>
      <c r="H20" s="29" t="str">
        <f>A21</f>
        <v>VSX</v>
      </c>
      <c r="I20" s="29" t="s">
        <v>54</v>
      </c>
      <c r="J20" s="29" t="s">
        <v>18</v>
      </c>
      <c r="K20" s="29" t="s">
        <v>25</v>
      </c>
      <c r="L20" s="29" t="s">
        <v>26</v>
      </c>
      <c r="M20" s="29" t="s">
        <v>27</v>
      </c>
      <c r="N20" s="29" t="s">
        <v>28</v>
      </c>
      <c r="O20" s="29" t="s">
        <v>23</v>
      </c>
      <c r="P20" s="30" t="s">
        <v>22</v>
      </c>
      <c r="Q20" s="15" t="s">
        <v>14</v>
      </c>
      <c r="R20" s="31" t="s">
        <v>36</v>
      </c>
    </row>
    <row r="21" spans="1:19" s="5" customFormat="1" ht="12.95" customHeight="1" x14ac:dyDescent="0.2">
      <c r="A21" s="5" t="str">
        <f>D7</f>
        <v>VSX</v>
      </c>
      <c r="C21" s="11">
        <f>C$7</f>
        <v>53140.597000000067</v>
      </c>
      <c r="D21" s="11" t="s">
        <v>13</v>
      </c>
      <c r="E21" s="5">
        <f t="shared" ref="E21:E26" si="0">+(C21-C$7)/C$8</f>
        <v>0</v>
      </c>
      <c r="F21" s="5">
        <f t="shared" ref="F21:F26" si="1">ROUND(2*E21,0)/2</f>
        <v>0</v>
      </c>
      <c r="G21" s="5">
        <f t="shared" ref="G21:G26" si="2">+C21-(C$7+F21*C$8)</f>
        <v>0</v>
      </c>
      <c r="H21" s="5">
        <f>+G21</f>
        <v>0</v>
      </c>
      <c r="O21" s="5">
        <f t="shared" ref="O21:O26" ca="1" si="3">+C$11+C$12*$F21</f>
        <v>-4.9496174135027658E-3</v>
      </c>
      <c r="Q21" s="32">
        <f t="shared" ref="Q21:Q26" si="4">+C21-15018.5</f>
        <v>38122.097000000067</v>
      </c>
      <c r="S21" s="5">
        <f t="shared" ref="S21:S26" ca="1" si="5">+(O21-G21)^2</f>
        <v>2.4498712540049809E-5</v>
      </c>
    </row>
    <row r="22" spans="1:19" s="5" customFormat="1" ht="12.95" customHeight="1" x14ac:dyDescent="0.2">
      <c r="A22" s="3" t="s">
        <v>47</v>
      </c>
      <c r="B22" s="4" t="s">
        <v>48</v>
      </c>
      <c r="C22" s="3">
        <v>54865.813399999999</v>
      </c>
      <c r="D22" s="3">
        <v>8.0000000000000004E-4</v>
      </c>
      <c r="E22" s="5">
        <f t="shared" si="0"/>
        <v>5757.9571661719301</v>
      </c>
      <c r="F22" s="5">
        <f t="shared" si="1"/>
        <v>5758</v>
      </c>
      <c r="G22" s="5">
        <f t="shared" si="2"/>
        <v>-1.2834000066504814E-2</v>
      </c>
      <c r="I22" s="5">
        <f>+G22</f>
        <v>-1.2834000066504814E-2</v>
      </c>
      <c r="O22" s="5">
        <f t="shared" ca="1" si="3"/>
        <v>-1.068235700875262E-2</v>
      </c>
      <c r="Q22" s="32">
        <f t="shared" si="4"/>
        <v>39847.313399999999</v>
      </c>
      <c r="S22" s="5">
        <f t="shared" ca="1" si="5"/>
        <v>4.62956784797321E-6</v>
      </c>
    </row>
    <row r="23" spans="1:19" s="5" customFormat="1" ht="12.95" customHeight="1" x14ac:dyDescent="0.2">
      <c r="A23" s="3" t="s">
        <v>49</v>
      </c>
      <c r="B23" s="4" t="s">
        <v>48</v>
      </c>
      <c r="C23" s="3">
        <v>55268.897599999997</v>
      </c>
      <c r="D23" s="3">
        <v>1E-3</v>
      </c>
      <c r="E23" s="5">
        <f t="shared" si="0"/>
        <v>7103.2617656185594</v>
      </c>
      <c r="F23" s="5">
        <f t="shared" si="1"/>
        <v>7103.5</v>
      </c>
      <c r="G23" s="5">
        <f t="shared" si="2"/>
        <v>-7.1380500070517883E-2</v>
      </c>
      <c r="I23" s="5">
        <f>+G23</f>
        <v>-7.1380500070517883E-2</v>
      </c>
      <c r="O23" s="5">
        <f t="shared" ca="1" si="3"/>
        <v>-1.2021954286524188E-2</v>
      </c>
      <c r="Q23" s="32">
        <f t="shared" si="4"/>
        <v>40250.397599999997</v>
      </c>
      <c r="S23" s="5">
        <f t="shared" ca="1" si="5"/>
        <v>3.5234369575904757E-3</v>
      </c>
    </row>
    <row r="24" spans="1:19" s="5" customFormat="1" ht="12.95" customHeight="1" x14ac:dyDescent="0.2">
      <c r="A24" s="3" t="s">
        <v>50</v>
      </c>
      <c r="B24" s="4" t="s">
        <v>48</v>
      </c>
      <c r="C24" s="3">
        <v>55582.884899999997</v>
      </c>
      <c r="D24" s="3">
        <v>1.6000000000000001E-3</v>
      </c>
      <c r="E24" s="5">
        <f t="shared" si="0"/>
        <v>8151.203011784577</v>
      </c>
      <c r="F24" s="5">
        <f t="shared" si="1"/>
        <v>8151</v>
      </c>
      <c r="G24" s="5">
        <f t="shared" si="2"/>
        <v>6.0826999928394798E-2</v>
      </c>
      <c r="I24" s="5">
        <f>+G24</f>
        <v>6.0826999928394798E-2</v>
      </c>
      <c r="O24" s="5">
        <f t="shared" ca="1" si="3"/>
        <v>-1.3064858893336313E-2</v>
      </c>
      <c r="Q24" s="32">
        <f t="shared" si="4"/>
        <v>40564.384899999997</v>
      </c>
      <c r="S24" s="5">
        <f t="shared" ca="1" si="5"/>
        <v>5.4600068001306405E-3</v>
      </c>
    </row>
    <row r="25" spans="1:19" s="5" customFormat="1" ht="12.95" customHeight="1" x14ac:dyDescent="0.2">
      <c r="A25" s="3" t="s">
        <v>51</v>
      </c>
      <c r="B25" s="4" t="s">
        <v>48</v>
      </c>
      <c r="C25" s="3">
        <v>55955.845000000001</v>
      </c>
      <c r="D25" s="3">
        <v>1E-4</v>
      </c>
      <c r="E25" s="5">
        <f t="shared" si="0"/>
        <v>9395.9675992828797</v>
      </c>
      <c r="F25" s="5">
        <f t="shared" si="1"/>
        <v>9396</v>
      </c>
      <c r="G25" s="5">
        <f t="shared" si="2"/>
        <v>-9.7080000632558949E-3</v>
      </c>
      <c r="I25" s="5">
        <f>+G25</f>
        <v>-9.7080000632558949E-3</v>
      </c>
      <c r="O25" s="5">
        <f t="shared" ca="1" si="3"/>
        <v>-1.4304397065633304E-2</v>
      </c>
      <c r="Q25" s="32">
        <f t="shared" si="4"/>
        <v>40937.345000000001</v>
      </c>
      <c r="S25" s="5">
        <f t="shared" ca="1" si="5"/>
        <v>2.1126865403464036E-5</v>
      </c>
    </row>
    <row r="26" spans="1:19" s="5" customFormat="1" ht="12.95" customHeight="1" x14ac:dyDescent="0.2">
      <c r="A26" s="3" t="s">
        <v>51</v>
      </c>
      <c r="B26" s="4" t="s">
        <v>48</v>
      </c>
      <c r="C26" s="3">
        <v>56029.675300000003</v>
      </c>
      <c r="D26" s="3">
        <v>4.0000000000000002E-4</v>
      </c>
      <c r="E26" s="5">
        <f t="shared" si="0"/>
        <v>9642.3782553406636</v>
      </c>
      <c r="F26" s="5">
        <f t="shared" si="1"/>
        <v>9642.5</v>
      </c>
      <c r="G26" s="5">
        <f t="shared" si="2"/>
        <v>-3.6477500063483603E-2</v>
      </c>
      <c r="I26" s="5">
        <f>+G26</f>
        <v>-3.6477500063483603E-2</v>
      </c>
      <c r="O26" s="5">
        <f t="shared" ca="1" si="3"/>
        <v>-1.4549815667618208E-2</v>
      </c>
      <c r="Q26" s="32">
        <f t="shared" si="4"/>
        <v>41011.175300000003</v>
      </c>
      <c r="S26" s="5">
        <f t="shared" ca="1" si="5"/>
        <v>4.8082334296467875E-4</v>
      </c>
    </row>
    <row r="27" spans="1:19" s="5" customFormat="1" ht="12.95" customHeight="1" x14ac:dyDescent="0.2">
      <c r="C27" s="11"/>
      <c r="D27" s="11"/>
      <c r="Q27" s="32"/>
    </row>
    <row r="28" spans="1:19" s="5" customFormat="1" ht="12.95" customHeight="1" x14ac:dyDescent="0.2">
      <c r="C28" s="11"/>
      <c r="D28" s="11"/>
      <c r="Q28" s="32"/>
    </row>
    <row r="29" spans="1:19" s="5" customFormat="1" ht="12.95" customHeight="1" x14ac:dyDescent="0.2">
      <c r="C29" s="11"/>
      <c r="D29" s="11"/>
      <c r="Q29" s="32"/>
    </row>
    <row r="30" spans="1:19" s="5" customFormat="1" ht="12.95" customHeight="1" x14ac:dyDescent="0.2">
      <c r="C30" s="11"/>
      <c r="D30" s="11"/>
      <c r="Q30" s="32"/>
    </row>
    <row r="31" spans="1:19" s="5" customFormat="1" ht="12.95" customHeight="1" x14ac:dyDescent="0.2">
      <c r="C31" s="11"/>
      <c r="D31" s="11"/>
      <c r="Q31" s="32"/>
    </row>
    <row r="32" spans="1:19" s="5" customFormat="1" ht="12.95" customHeight="1" x14ac:dyDescent="0.2">
      <c r="C32" s="11"/>
      <c r="D32" s="11"/>
      <c r="Q32" s="32"/>
    </row>
    <row r="33" spans="3:17" s="5" customFormat="1" ht="12.95" customHeight="1" x14ac:dyDescent="0.2">
      <c r="C33" s="11"/>
      <c r="D33" s="11"/>
      <c r="Q33" s="32"/>
    </row>
    <row r="34" spans="3:17" s="5" customFormat="1" ht="12.95" customHeight="1" x14ac:dyDescent="0.2">
      <c r="C34" s="11"/>
      <c r="D34" s="11"/>
    </row>
    <row r="35" spans="3:17" s="5" customFormat="1" ht="12.95" customHeight="1" x14ac:dyDescent="0.2">
      <c r="C35" s="11"/>
      <c r="D35" s="11"/>
    </row>
    <row r="36" spans="3:17" s="5" customFormat="1" ht="12.95" customHeight="1" x14ac:dyDescent="0.2">
      <c r="C36" s="11"/>
      <c r="D36" s="1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2" sqref="E11:E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5" customFormat="1" ht="20.25" x14ac:dyDescent="0.2">
      <c r="A1" s="33" t="s">
        <v>55</v>
      </c>
      <c r="E1" s="5" t="s">
        <v>43</v>
      </c>
    </row>
    <row r="2" spans="1:7" s="5" customFormat="1" ht="12.95" customHeight="1" x14ac:dyDescent="0.2">
      <c r="A2" s="5" t="s">
        <v>24</v>
      </c>
      <c r="B2" s="5" t="s">
        <v>44</v>
      </c>
      <c r="C2" s="6" t="s">
        <v>41</v>
      </c>
      <c r="D2" s="7" t="s">
        <v>45</v>
      </c>
      <c r="E2" s="2" t="s">
        <v>42</v>
      </c>
      <c r="F2" s="5" t="e">
        <v>#N/A</v>
      </c>
    </row>
    <row r="3" spans="1:7" s="5" customFormat="1" ht="12.95" customHeight="1" thickBot="1" x14ac:dyDescent="0.25"/>
    <row r="4" spans="1:7" s="5" customFormat="1" ht="12.95" customHeight="1" thickTop="1" thickBot="1" x14ac:dyDescent="0.25">
      <c r="A4" s="8" t="s">
        <v>0</v>
      </c>
      <c r="C4" s="9" t="s">
        <v>40</v>
      </c>
      <c r="D4" s="10" t="s">
        <v>40</v>
      </c>
    </row>
    <row r="5" spans="1:7" s="5" customFormat="1" ht="12.95" customHeight="1" x14ac:dyDescent="0.2"/>
    <row r="6" spans="1:7" s="5" customFormat="1" ht="12.95" customHeight="1" x14ac:dyDescent="0.2">
      <c r="A6" s="8" t="s">
        <v>1</v>
      </c>
    </row>
    <row r="7" spans="1:7" s="5" customFormat="1" ht="12.95" customHeight="1" x14ac:dyDescent="0.2">
      <c r="A7" s="5" t="s">
        <v>2</v>
      </c>
      <c r="C7" s="34">
        <v>53140.597000000067</v>
      </c>
      <c r="D7" s="12" t="s">
        <v>46</v>
      </c>
    </row>
    <row r="8" spans="1:7" s="5" customFormat="1" ht="12.95" customHeight="1" x14ac:dyDescent="0.2">
      <c r="A8" s="5" t="s">
        <v>3</v>
      </c>
      <c r="C8" s="34">
        <v>0.42430000000000001</v>
      </c>
      <c r="D8" s="12" t="s">
        <v>52</v>
      </c>
    </row>
    <row r="9" spans="1:7" s="5" customFormat="1" ht="12.95" customHeight="1" x14ac:dyDescent="0.2">
      <c r="A9" s="13" t="s">
        <v>30</v>
      </c>
      <c r="C9" s="14">
        <v>-9.5</v>
      </c>
      <c r="D9" s="5" t="s">
        <v>31</v>
      </c>
    </row>
    <row r="10" spans="1:7" s="5" customFormat="1" ht="12.95" customHeight="1" thickBot="1" x14ac:dyDescent="0.25">
      <c r="C10" s="15" t="s">
        <v>20</v>
      </c>
      <c r="D10" s="15" t="s">
        <v>21</v>
      </c>
    </row>
    <row r="11" spans="1:7" s="5" customFormat="1" ht="12.95" customHeight="1" x14ac:dyDescent="0.2">
      <c r="A11" s="5" t="s">
        <v>15</v>
      </c>
      <c r="C11" s="16">
        <f ca="1">INTERCEPT(INDIRECT($G$11):G992,INDIRECT($F$11):F992)</f>
        <v>1.0736200470955019E-4</v>
      </c>
      <c r="D11" s="7"/>
      <c r="F11" s="17" t="str">
        <f>"F"&amp;E19</f>
        <v>F21</v>
      </c>
      <c r="G11" s="16" t="str">
        <f>"G"&amp;E19</f>
        <v>G21</v>
      </c>
    </row>
    <row r="12" spans="1:7" s="5" customFormat="1" ht="12.95" customHeight="1" x14ac:dyDescent="0.2">
      <c r="A12" s="5" t="s">
        <v>16</v>
      </c>
      <c r="C12" s="16">
        <f ca="1">SLOPE(INDIRECT($G$11):G992,INDIRECT($F$11):F992)</f>
        <v>2.7563760565202641E-6</v>
      </c>
      <c r="D12" s="7"/>
    </row>
    <row r="13" spans="1:7" s="5" customFormat="1" ht="12.95" customHeight="1" x14ac:dyDescent="0.2">
      <c r="A13" s="5" t="s">
        <v>19</v>
      </c>
      <c r="C13" s="7" t="s">
        <v>13</v>
      </c>
      <c r="D13" s="18" t="s">
        <v>37</v>
      </c>
      <c r="E13" s="14">
        <v>1</v>
      </c>
    </row>
    <row r="14" spans="1:7" s="5" customFormat="1" ht="12.95" customHeight="1" x14ac:dyDescent="0.2">
      <c r="D14" s="18" t="s">
        <v>32</v>
      </c>
      <c r="E14" s="19">
        <f ca="1">NOW()+15018.5+$C$9/24</f>
        <v>60375.764507523148</v>
      </c>
    </row>
    <row r="15" spans="1:7" s="5" customFormat="1" ht="12.95" customHeight="1" x14ac:dyDescent="0.2">
      <c r="A15" s="20" t="s">
        <v>17</v>
      </c>
      <c r="C15" s="21">
        <f ca="1">(C7+C11)+(C8+C12)*INT(MAX(F21:F3533))</f>
        <v>56029.674575526646</v>
      </c>
      <c r="D15" s="18" t="s">
        <v>38</v>
      </c>
      <c r="E15" s="19">
        <f ca="1">ROUND(2*(E14-$C$7)/$C$8,0)/2+E13</f>
        <v>17053</v>
      </c>
    </row>
    <row r="16" spans="1:7" s="5" customFormat="1" ht="12.95" customHeight="1" x14ac:dyDescent="0.2">
      <c r="A16" s="8" t="s">
        <v>4</v>
      </c>
      <c r="C16" s="22">
        <f ca="1">+C8+C12</f>
        <v>0.42430275637605652</v>
      </c>
      <c r="D16" s="18" t="s">
        <v>39</v>
      </c>
      <c r="E16" s="16">
        <f ca="1">ROUND(2*(E14-$C$15)/$C$16,0)/2+E13</f>
        <v>10244</v>
      </c>
    </row>
    <row r="17" spans="1:19" s="5" customFormat="1" ht="12.95" customHeight="1" thickBot="1" x14ac:dyDescent="0.25">
      <c r="A17" s="18" t="s">
        <v>29</v>
      </c>
      <c r="C17" s="5">
        <f>COUNT(C21:C2191)</f>
        <v>6</v>
      </c>
      <c r="D17" s="18" t="s">
        <v>33</v>
      </c>
      <c r="E17" s="23">
        <f ca="1">+$C$15+$C$16*E16-15018.5-$C$9/24</f>
        <v>45358.127845176306</v>
      </c>
    </row>
    <row r="18" spans="1:19" s="5" customFormat="1" ht="12.95" customHeight="1" thickTop="1" thickBot="1" x14ac:dyDescent="0.25">
      <c r="A18" s="8" t="s">
        <v>5</v>
      </c>
      <c r="C18" s="24">
        <f ca="1">+C15</f>
        <v>56029.674575526646</v>
      </c>
      <c r="D18" s="25">
        <f ca="1">+C16</f>
        <v>0.42430275637605652</v>
      </c>
      <c r="E18" s="26" t="s">
        <v>34</v>
      </c>
    </row>
    <row r="19" spans="1:19" s="5" customFormat="1" ht="12.95" customHeight="1" thickTop="1" x14ac:dyDescent="0.2">
      <c r="A19" s="27" t="s">
        <v>35</v>
      </c>
      <c r="E19" s="28">
        <v>21</v>
      </c>
      <c r="S19" s="5">
        <f ca="1">SQRT(SUM(S21:S50)/(COUNT(S21:S50)-1))</f>
        <v>1.3275521865488459E-3</v>
      </c>
    </row>
    <row r="20" spans="1:19" s="5" customFormat="1" ht="12.95" customHeight="1" thickBot="1" x14ac:dyDescent="0.25">
      <c r="A20" s="15" t="s">
        <v>6</v>
      </c>
      <c r="B20" s="15" t="s">
        <v>7</v>
      </c>
      <c r="C20" s="15" t="s">
        <v>8</v>
      </c>
      <c r="D20" s="15" t="s">
        <v>12</v>
      </c>
      <c r="E20" s="15" t="s">
        <v>9</v>
      </c>
      <c r="F20" s="15" t="s">
        <v>10</v>
      </c>
      <c r="G20" s="15" t="s">
        <v>11</v>
      </c>
      <c r="H20" s="29" t="str">
        <f>A21</f>
        <v>VSX</v>
      </c>
      <c r="I20" s="29" t="s">
        <v>54</v>
      </c>
      <c r="J20" s="29" t="s">
        <v>18</v>
      </c>
      <c r="K20" s="29" t="s">
        <v>25</v>
      </c>
      <c r="L20" s="29" t="s">
        <v>26</v>
      </c>
      <c r="M20" s="29" t="s">
        <v>27</v>
      </c>
      <c r="N20" s="29" t="s">
        <v>28</v>
      </c>
      <c r="O20" s="29" t="s">
        <v>23</v>
      </c>
      <c r="P20" s="30" t="s">
        <v>22</v>
      </c>
      <c r="Q20" s="15" t="s">
        <v>14</v>
      </c>
      <c r="R20" s="31" t="s">
        <v>36</v>
      </c>
    </row>
    <row r="21" spans="1:19" s="5" customFormat="1" ht="12.95" customHeight="1" x14ac:dyDescent="0.2">
      <c r="A21" s="5" t="str">
        <f>D7</f>
        <v>VSX</v>
      </c>
      <c r="C21" s="11">
        <f>C$7</f>
        <v>53140.597000000067</v>
      </c>
      <c r="D21" s="11" t="s">
        <v>13</v>
      </c>
      <c r="E21" s="5">
        <f t="shared" ref="E21:E26" si="0">+(C21-C$7)/C$8</f>
        <v>0</v>
      </c>
      <c r="F21" s="5">
        <f t="shared" ref="F21:F26" si="1">ROUND(2*E21,0)/2</f>
        <v>0</v>
      </c>
      <c r="G21" s="5">
        <f t="shared" ref="G21:G26" si="2">+C21-(C$7+F21*C$8)</f>
        <v>0</v>
      </c>
      <c r="H21" s="5">
        <f>+G21</f>
        <v>0</v>
      </c>
      <c r="O21" s="5">
        <f t="shared" ref="O21:O26" ca="1" si="3">+C$11+C$12*$F21</f>
        <v>1.0736200470955019E-4</v>
      </c>
      <c r="Q21" s="32">
        <f t="shared" ref="Q21:Q26" si="4">+C21-15018.5</f>
        <v>38122.097000000067</v>
      </c>
      <c r="S21" s="5">
        <f t="shared" ref="S21:S26" ca="1" si="5">+(O21-G21)^2</f>
        <v>1.1526600055253477E-8</v>
      </c>
    </row>
    <row r="22" spans="1:19" s="5" customFormat="1" ht="12.95" customHeight="1" x14ac:dyDescent="0.2">
      <c r="A22" s="3" t="s">
        <v>47</v>
      </c>
      <c r="B22" s="4" t="s">
        <v>48</v>
      </c>
      <c r="C22" s="3">
        <v>54865.813399999999</v>
      </c>
      <c r="D22" s="3">
        <v>8.0000000000000004E-4</v>
      </c>
      <c r="E22" s="5">
        <f t="shared" si="0"/>
        <v>4066.0296959696725</v>
      </c>
      <c r="F22" s="5">
        <f t="shared" si="1"/>
        <v>4066</v>
      </c>
      <c r="G22" s="5">
        <f t="shared" si="2"/>
        <v>1.2599999929079786E-2</v>
      </c>
      <c r="I22" s="5">
        <f>+G22</f>
        <v>1.2599999929079786E-2</v>
      </c>
      <c r="O22" s="5">
        <f t="shared" ca="1" si="3"/>
        <v>1.1314787050520945E-2</v>
      </c>
      <c r="Q22" s="32">
        <f t="shared" si="4"/>
        <v>39847.313399999999</v>
      </c>
      <c r="S22" s="5">
        <f t="shared" ca="1" si="5"/>
        <v>1.6517721432135026E-6</v>
      </c>
    </row>
    <row r="23" spans="1:19" s="5" customFormat="1" ht="12.95" customHeight="1" x14ac:dyDescent="0.2">
      <c r="A23" s="3" t="s">
        <v>49</v>
      </c>
      <c r="B23" s="4" t="s">
        <v>48</v>
      </c>
      <c r="C23" s="3">
        <v>55268.897599999997</v>
      </c>
      <c r="D23" s="3">
        <v>1E-3</v>
      </c>
      <c r="E23" s="5">
        <f t="shared" si="0"/>
        <v>5016.0278105112648</v>
      </c>
      <c r="F23" s="5">
        <f t="shared" si="1"/>
        <v>5016</v>
      </c>
      <c r="G23" s="5">
        <f t="shared" si="2"/>
        <v>1.1799999927461613E-2</v>
      </c>
      <c r="I23" s="5">
        <f>+G23</f>
        <v>1.1799999927461613E-2</v>
      </c>
      <c r="O23" s="5">
        <f t="shared" ca="1" si="3"/>
        <v>1.3933344304215195E-2</v>
      </c>
      <c r="Q23" s="32">
        <f t="shared" si="4"/>
        <v>40250.397599999997</v>
      </c>
      <c r="S23" s="5">
        <f t="shared" ca="1" si="5"/>
        <v>4.5511582298261296E-6</v>
      </c>
    </row>
    <row r="24" spans="1:19" s="5" customFormat="1" ht="12.95" customHeight="1" x14ac:dyDescent="0.2">
      <c r="A24" s="3" t="s">
        <v>50</v>
      </c>
      <c r="B24" s="4" t="s">
        <v>48</v>
      </c>
      <c r="C24" s="3">
        <v>55582.884899999997</v>
      </c>
      <c r="D24" s="3">
        <v>1.6000000000000001E-3</v>
      </c>
      <c r="E24" s="5">
        <f t="shared" si="0"/>
        <v>5756.0403016731798</v>
      </c>
      <c r="F24" s="5">
        <f t="shared" si="1"/>
        <v>5756</v>
      </c>
      <c r="G24" s="5">
        <f t="shared" si="2"/>
        <v>1.7099999931815546E-2</v>
      </c>
      <c r="I24" s="5">
        <f>+G24</f>
        <v>1.7099999931815546E-2</v>
      </c>
      <c r="O24" s="5">
        <f t="shared" ca="1" si="3"/>
        <v>1.5973062586040192E-2</v>
      </c>
      <c r="Q24" s="32">
        <f t="shared" si="4"/>
        <v>40564.384899999997</v>
      </c>
      <c r="S24" s="5">
        <f t="shared" ca="1" si="5"/>
        <v>1.2699877813032003E-6</v>
      </c>
    </row>
    <row r="25" spans="1:19" s="5" customFormat="1" ht="12.95" customHeight="1" x14ac:dyDescent="0.2">
      <c r="A25" s="3" t="s">
        <v>51</v>
      </c>
      <c r="B25" s="4" t="s">
        <v>48</v>
      </c>
      <c r="C25" s="3">
        <v>55955.845000000001</v>
      </c>
      <c r="D25" s="3">
        <v>1E-4</v>
      </c>
      <c r="E25" s="5">
        <f t="shared" si="0"/>
        <v>6635.0412444023896</v>
      </c>
      <c r="F25" s="5">
        <f t="shared" si="1"/>
        <v>6635</v>
      </c>
      <c r="G25" s="5">
        <f t="shared" si="2"/>
        <v>1.7499999936262611E-2</v>
      </c>
      <c r="I25" s="5">
        <f>+G25</f>
        <v>1.7499999936262611E-2</v>
      </c>
      <c r="O25" s="5">
        <f t="shared" ca="1" si="3"/>
        <v>1.8395917139721503E-2</v>
      </c>
      <c r="Q25" s="32">
        <f t="shared" si="4"/>
        <v>40937.345000000001</v>
      </c>
      <c r="S25" s="5">
        <f t="shared" ca="1" si="5"/>
        <v>8.0266763545360104E-7</v>
      </c>
    </row>
    <row r="26" spans="1:19" s="5" customFormat="1" ht="12.95" customHeight="1" x14ac:dyDescent="0.2">
      <c r="A26" s="3" t="s">
        <v>51</v>
      </c>
      <c r="B26" s="4" t="s">
        <v>48</v>
      </c>
      <c r="C26" s="3">
        <v>56029.675300000003</v>
      </c>
      <c r="D26" s="3">
        <v>4.0000000000000002E-4</v>
      </c>
      <c r="E26" s="5">
        <f t="shared" si="0"/>
        <v>6809.0461937306991</v>
      </c>
      <c r="F26" s="5">
        <f t="shared" si="1"/>
        <v>6809</v>
      </c>
      <c r="G26" s="5">
        <f t="shared" si="2"/>
        <v>1.9599999934143852E-2</v>
      </c>
      <c r="I26" s="5">
        <f>+G26</f>
        <v>1.9599999934143852E-2</v>
      </c>
      <c r="O26" s="5">
        <f t="shared" ca="1" si="3"/>
        <v>1.8875526573556026E-2</v>
      </c>
      <c r="Q26" s="32">
        <f t="shared" si="4"/>
        <v>41011.175300000003</v>
      </c>
      <c r="S26" s="5">
        <f t="shared" ca="1" si="5"/>
        <v>5.248616502014192E-7</v>
      </c>
    </row>
    <row r="27" spans="1:19" s="5" customFormat="1" ht="12.95" customHeight="1" x14ac:dyDescent="0.2">
      <c r="C27" s="11"/>
      <c r="D27" s="11"/>
      <c r="Q27" s="32"/>
    </row>
    <row r="28" spans="1:19" s="5" customFormat="1" ht="12.95" customHeight="1" x14ac:dyDescent="0.2">
      <c r="C28" s="11"/>
      <c r="D28" s="11"/>
      <c r="Q28" s="32"/>
    </row>
    <row r="29" spans="1:19" s="5" customFormat="1" ht="12.95" customHeight="1" x14ac:dyDescent="0.2">
      <c r="C29" s="11"/>
      <c r="D29" s="11"/>
      <c r="Q29" s="32"/>
    </row>
    <row r="30" spans="1:19" s="5" customFormat="1" ht="12.95" customHeight="1" x14ac:dyDescent="0.2">
      <c r="C30" s="11"/>
      <c r="D30" s="11"/>
      <c r="Q30" s="32"/>
    </row>
    <row r="31" spans="1:19" s="5" customFormat="1" ht="12.95" customHeight="1" x14ac:dyDescent="0.2">
      <c r="C31" s="11"/>
      <c r="D31" s="11"/>
      <c r="Q31" s="32"/>
    </row>
    <row r="32" spans="1:19" s="5" customFormat="1" ht="12.95" customHeight="1" x14ac:dyDescent="0.2">
      <c r="C32" s="11"/>
      <c r="D32" s="11"/>
      <c r="Q32" s="32"/>
    </row>
    <row r="33" spans="3:17" s="5" customFormat="1" ht="12.95" customHeight="1" x14ac:dyDescent="0.2">
      <c r="C33" s="11"/>
      <c r="D33" s="11"/>
      <c r="Q33" s="32"/>
    </row>
    <row r="34" spans="3:17" x14ac:dyDescent="0.2">
      <c r="C34" s="1"/>
      <c r="D34" s="1"/>
    </row>
    <row r="35" spans="3:17" x14ac:dyDescent="0.2">
      <c r="C35" s="1"/>
      <c r="D35" s="1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2024-03-06T05:20:53Z</dcterms:modified>
</cp:coreProperties>
</file>